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ctrlProps/ctrlProp1.xml" ContentType="application/vnd.ms-excel.controlproperties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embeddings/oleObject6.bin" ContentType="application/vnd.openxmlformats-officedocument.oleObject"/>
  <Override PartName="/xl/drawings/drawing4.xml" ContentType="application/vnd.openxmlformats-officedocument.drawing+xml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ctrlProps/ctrlProp2.xml" ContentType="application/vnd.ms-excel.controlproperties+xml"/>
  <Override PartName="/xl/comments2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embeddings/oleObject11.bin" ContentType="application/vnd.openxmlformats-officedocument.oleObject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imon.jones.HGEORG\AppData\Local\Microsoft\Windows\INetCache\Content.Outlook\DWD1VN7R\"/>
    </mc:Choice>
  </mc:AlternateContent>
  <xr:revisionPtr revIDLastSave="0" documentId="13_ncr:1_{0D14BB3D-8C19-464F-B8CA-19C57D6D4AB6}" xr6:coauthVersionLast="47" xr6:coauthVersionMax="47" xr10:uidLastSave="{00000000-0000-0000-0000-000000000000}"/>
  <bookViews>
    <workbookView xWindow="-120" yWindow="-120" windowWidth="29040" windowHeight="15840" firstSheet="1" activeTab="3" xr2:uid="{00000000-000D-0000-FFFF-FFFF00000000}"/>
  </bookViews>
  <sheets>
    <sheet name="RESUM" sheetId="1" state="hidden" r:id="rId1"/>
    <sheet name="driving mode datasheet" sheetId="2" r:id="rId2"/>
    <sheet name="driving mode parameters" sheetId="3" r:id="rId3"/>
    <sheet name="absorbing mode datasheet" sheetId="4" r:id="rId4"/>
    <sheet name="absorbing mode parameters" sheetId="5" r:id="rId5"/>
    <sheet name="limit 480V" sheetId="6" state="hidden" r:id="rId6"/>
    <sheet name="Limit" sheetId="7" state="hidden" r:id="rId7"/>
  </sheets>
  <definedNames>
    <definedName name="_xlnm.Print_Area" localSheetId="3">'absorbing mode datasheet'!$A$1:$N$155</definedName>
    <definedName name="_xlnm.Print_Area" localSheetId="4">'absorbing mode parameters'!$A$1:$M$54</definedName>
    <definedName name="_xlnm.Print_Area" localSheetId="1">'driving mode datasheet'!$A$1:$N$156</definedName>
    <definedName name="_xlnm.Print_Area" localSheetId="2">'driving mode parameters'!$A$1:$M$54</definedName>
    <definedName name="_xlnm.Print_Area" localSheetId="0">RESUM!$A$1:$J$32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2" i="2" l="1"/>
  <c r="X32" i="2"/>
  <c r="AD27" i="2"/>
  <c r="X32" i="4"/>
  <c r="AD27" i="4"/>
  <c r="R40" i="2"/>
  <c r="Q40" i="2"/>
  <c r="N40" i="2"/>
  <c r="R39" i="2"/>
  <c r="Q39" i="2"/>
  <c r="N39" i="2"/>
  <c r="R38" i="2"/>
  <c r="Q38" i="2"/>
  <c r="N38" i="2"/>
  <c r="R37" i="2"/>
  <c r="Q37" i="2"/>
  <c r="N37" i="2"/>
  <c r="R36" i="2"/>
  <c r="Q36" i="2"/>
  <c r="N36" i="2"/>
  <c r="R35" i="2"/>
  <c r="Q35" i="2"/>
  <c r="N35" i="2"/>
  <c r="R34" i="2"/>
  <c r="Q34" i="2"/>
  <c r="N34" i="2"/>
  <c r="R33" i="2"/>
  <c r="Q33" i="2"/>
  <c r="N33" i="2"/>
  <c r="R32" i="2"/>
  <c r="Q32" i="2"/>
  <c r="N32" i="2"/>
  <c r="R31" i="2"/>
  <c r="Q31" i="2"/>
  <c r="N31" i="2"/>
  <c r="R30" i="2"/>
  <c r="Q30" i="2"/>
  <c r="N30" i="2"/>
  <c r="R29" i="2"/>
  <c r="Q29" i="2"/>
  <c r="S29" i="2" s="1"/>
  <c r="N29" i="2"/>
  <c r="R28" i="2"/>
  <c r="Q28" i="2"/>
  <c r="N28" i="2"/>
  <c r="R27" i="2"/>
  <c r="Q27" i="2"/>
  <c r="N27" i="2"/>
  <c r="C40" i="2"/>
  <c r="B40" i="2"/>
  <c r="A40" i="2"/>
  <c r="C39" i="2"/>
  <c r="B39" i="2"/>
  <c r="A39" i="2"/>
  <c r="C38" i="2"/>
  <c r="B38" i="2"/>
  <c r="A38" i="2"/>
  <c r="C37" i="2"/>
  <c r="B37" i="2"/>
  <c r="A37" i="2"/>
  <c r="C36" i="2"/>
  <c r="B36" i="2"/>
  <c r="A36" i="2"/>
  <c r="C35" i="2"/>
  <c r="B35" i="2"/>
  <c r="A35" i="2"/>
  <c r="C34" i="2"/>
  <c r="B34" i="2"/>
  <c r="A34" i="2"/>
  <c r="C33" i="2"/>
  <c r="B33" i="2"/>
  <c r="A33" i="2"/>
  <c r="C32" i="2"/>
  <c r="B32" i="2"/>
  <c r="A32" i="2"/>
  <c r="C31" i="2"/>
  <c r="B31" i="2"/>
  <c r="U31" i="2" s="1"/>
  <c r="A31" i="2"/>
  <c r="C30" i="2"/>
  <c r="B30" i="2"/>
  <c r="A30" i="2"/>
  <c r="C29" i="2"/>
  <c r="B29" i="2"/>
  <c r="A29" i="2"/>
  <c r="C28" i="2"/>
  <c r="B28" i="2"/>
  <c r="A28" i="2"/>
  <c r="C27" i="2"/>
  <c r="V27" i="2" s="1"/>
  <c r="B27" i="2"/>
  <c r="U27" i="2" s="1"/>
  <c r="A27" i="2"/>
  <c r="N40" i="4"/>
  <c r="N39" i="4"/>
  <c r="N38" i="4"/>
  <c r="N37" i="4"/>
  <c r="N36" i="4"/>
  <c r="N35" i="4"/>
  <c r="N34" i="4"/>
  <c r="V34" i="4" s="1"/>
  <c r="N33" i="4"/>
  <c r="N32" i="4"/>
  <c r="N31" i="4"/>
  <c r="N30" i="4"/>
  <c r="V30" i="4" s="1"/>
  <c r="N29" i="4"/>
  <c r="N28" i="4"/>
  <c r="N27" i="4"/>
  <c r="C40" i="4"/>
  <c r="B40" i="4"/>
  <c r="A40" i="4"/>
  <c r="C39" i="4"/>
  <c r="B39" i="4"/>
  <c r="A39" i="4"/>
  <c r="C38" i="4"/>
  <c r="B38" i="4"/>
  <c r="A38" i="4"/>
  <c r="C37" i="4"/>
  <c r="B37" i="4"/>
  <c r="A37" i="4"/>
  <c r="C36" i="4"/>
  <c r="B36" i="4"/>
  <c r="A36" i="4"/>
  <c r="C35" i="4"/>
  <c r="V35" i="4" s="1"/>
  <c r="B35" i="4"/>
  <c r="A35" i="4"/>
  <c r="C34" i="4"/>
  <c r="B34" i="4"/>
  <c r="A34" i="4"/>
  <c r="C33" i="4"/>
  <c r="B33" i="4"/>
  <c r="A33" i="4"/>
  <c r="C32" i="4"/>
  <c r="V32" i="4" s="1"/>
  <c r="B32" i="4"/>
  <c r="A32" i="4"/>
  <c r="C31" i="4"/>
  <c r="B31" i="4"/>
  <c r="A31" i="4"/>
  <c r="C30" i="4"/>
  <c r="B30" i="4"/>
  <c r="A30" i="4"/>
  <c r="C29" i="4"/>
  <c r="B29" i="4"/>
  <c r="A29" i="4"/>
  <c r="C28" i="4"/>
  <c r="B28" i="4"/>
  <c r="A28" i="4"/>
  <c r="C27" i="4"/>
  <c r="B27" i="4"/>
  <c r="A27" i="4"/>
  <c r="S40" i="2"/>
  <c r="F40" i="2"/>
  <c r="S39" i="2"/>
  <c r="F39" i="2"/>
  <c r="V38" i="2"/>
  <c r="U38" i="2"/>
  <c r="S38" i="2"/>
  <c r="V37" i="2"/>
  <c r="S36" i="2"/>
  <c r="F36" i="2"/>
  <c r="E36" i="2" s="1"/>
  <c r="S35" i="2"/>
  <c r="F35" i="2"/>
  <c r="V34" i="2"/>
  <c r="U34" i="2"/>
  <c r="S34" i="2"/>
  <c r="V33" i="2"/>
  <c r="S32" i="2"/>
  <c r="F32" i="2"/>
  <c r="E32" i="2" s="1"/>
  <c r="D32" i="2" s="1"/>
  <c r="V31" i="2"/>
  <c r="S31" i="2"/>
  <c r="V30" i="2"/>
  <c r="U30" i="2" s="1"/>
  <c r="S30" i="2"/>
  <c r="V29" i="2"/>
  <c r="S28" i="2"/>
  <c r="F28" i="2"/>
  <c r="V28" i="2"/>
  <c r="AD28" i="2"/>
  <c r="AD29" i="2" s="1"/>
  <c r="AD30" i="2" s="1"/>
  <c r="AD31" i="2" s="1"/>
  <c r="AD32" i="2" s="1"/>
  <c r="AD33" i="2" s="1"/>
  <c r="AD34" i="2" s="1"/>
  <c r="AD35" i="2" s="1"/>
  <c r="AD36" i="2" s="1"/>
  <c r="AD37" i="2" s="1"/>
  <c r="AD38" i="2" s="1"/>
  <c r="AD39" i="2" s="1"/>
  <c r="AD40" i="2" s="1"/>
  <c r="V37" i="4"/>
  <c r="V33" i="4"/>
  <c r="V31" i="4"/>
  <c r="AD28" i="4"/>
  <c r="AD29" i="4" s="1"/>
  <c r="AD30" i="4" s="1"/>
  <c r="AD31" i="4" s="1"/>
  <c r="AD32" i="4" s="1"/>
  <c r="AD33" i="4" s="1"/>
  <c r="AD34" i="4" s="1"/>
  <c r="AD35" i="4" s="1"/>
  <c r="AD36" i="4" s="1"/>
  <c r="AD37" i="4" s="1"/>
  <c r="AD38" i="4" s="1"/>
  <c r="AD39" i="4" s="1"/>
  <c r="AD40" i="4" s="1"/>
  <c r="V27" i="4"/>
  <c r="O5" i="5"/>
  <c r="O5" i="3"/>
  <c r="Y28" i="2" l="1"/>
  <c r="U31" i="4"/>
  <c r="U34" i="4"/>
  <c r="F29" i="2"/>
  <c r="E29" i="2" s="1"/>
  <c r="V38" i="4"/>
  <c r="U38" i="4" s="1"/>
  <c r="V28" i="4"/>
  <c r="U28" i="4" s="1"/>
  <c r="E35" i="2"/>
  <c r="D35" i="2" s="1"/>
  <c r="E39" i="2"/>
  <c r="D39" i="2" s="1"/>
  <c r="D36" i="2"/>
  <c r="V39" i="2"/>
  <c r="U39" i="2"/>
  <c r="U28" i="2"/>
  <c r="V32" i="2"/>
  <c r="V35" i="2"/>
  <c r="U35" i="2" s="1"/>
  <c r="S27" i="2"/>
  <c r="F27" i="2"/>
  <c r="E28" i="2"/>
  <c r="U36" i="2"/>
  <c r="U37" i="2"/>
  <c r="S37" i="2"/>
  <c r="F37" i="2"/>
  <c r="E37" i="2" s="1"/>
  <c r="V40" i="2"/>
  <c r="U40" i="2" s="1"/>
  <c r="U29" i="2"/>
  <c r="F30" i="2"/>
  <c r="E30" i="2" s="1"/>
  <c r="X31" i="2"/>
  <c r="X33" i="2"/>
  <c r="Z32" i="2"/>
  <c r="AC32" i="2" s="1"/>
  <c r="U33" i="2"/>
  <c r="S33" i="2"/>
  <c r="F33" i="2"/>
  <c r="E33" i="2" s="1"/>
  <c r="V36" i="2"/>
  <c r="E40" i="2"/>
  <c r="Y39" i="2"/>
  <c r="Y35" i="2"/>
  <c r="F31" i="2"/>
  <c r="F34" i="2"/>
  <c r="Y36" i="2"/>
  <c r="F38" i="2"/>
  <c r="Y40" i="2"/>
  <c r="X31" i="4"/>
  <c r="X33" i="4"/>
  <c r="U35" i="4"/>
  <c r="U37" i="4"/>
  <c r="V40" i="4"/>
  <c r="V39" i="4"/>
  <c r="U39" i="4" s="1"/>
  <c r="U33" i="4"/>
  <c r="H33" i="4" s="1"/>
  <c r="U27" i="4"/>
  <c r="V29" i="4"/>
  <c r="U30" i="4"/>
  <c r="W31" i="4"/>
  <c r="I31" i="4" s="1"/>
  <c r="U32" i="4"/>
  <c r="H32" i="4" s="1"/>
  <c r="V36" i="4"/>
  <c r="P61" i="3"/>
  <c r="Q61" i="3"/>
  <c r="P63" i="3"/>
  <c r="Q63" i="3"/>
  <c r="L64" i="3"/>
  <c r="M64" i="3"/>
  <c r="N64" i="3"/>
  <c r="O64" i="3"/>
  <c r="P64" i="3"/>
  <c r="Q64" i="3"/>
  <c r="L65" i="3"/>
  <c r="M65" i="3"/>
  <c r="N65" i="3"/>
  <c r="O65" i="3"/>
  <c r="P65" i="3"/>
  <c r="Q65" i="3"/>
  <c r="P66" i="3"/>
  <c r="Q66" i="3"/>
  <c r="P67" i="3"/>
  <c r="Q67" i="3"/>
  <c r="P68" i="3"/>
  <c r="Q68" i="3"/>
  <c r="P69" i="3"/>
  <c r="Q69" i="3"/>
  <c r="P70" i="3"/>
  <c r="Q70" i="3"/>
  <c r="P74" i="3"/>
  <c r="P73" i="3" s="1"/>
  <c r="P79" i="3" s="1"/>
  <c r="Q74" i="3"/>
  <c r="Q73" i="3" s="1"/>
  <c r="Q79" i="3" s="1"/>
  <c r="L77" i="3"/>
  <c r="M77" i="3"/>
  <c r="N77" i="3"/>
  <c r="O77" i="3"/>
  <c r="P77" i="3"/>
  <c r="Q77" i="3"/>
  <c r="X101" i="4"/>
  <c r="X102" i="4" s="1"/>
  <c r="W100" i="4"/>
  <c r="V100" i="4"/>
  <c r="S100" i="4"/>
  <c r="AD87" i="4"/>
  <c r="AD86" i="4"/>
  <c r="AC86" i="4"/>
  <c r="L26" i="3"/>
  <c r="L27" i="3"/>
  <c r="L28" i="3"/>
  <c r="L29" i="3"/>
  <c r="L30" i="3"/>
  <c r="L31" i="3"/>
  <c r="L32" i="3"/>
  <c r="L33" i="3"/>
  <c r="Y30" i="2" l="1"/>
  <c r="W32" i="4"/>
  <c r="I32" i="4" s="1"/>
  <c r="Y29" i="2"/>
  <c r="E34" i="2"/>
  <c r="Y34" i="2"/>
  <c r="X30" i="2"/>
  <c r="H31" i="2"/>
  <c r="E38" i="2"/>
  <c r="Y38" i="2"/>
  <c r="E31" i="2"/>
  <c r="Y31" i="2"/>
  <c r="H33" i="2"/>
  <c r="D30" i="2"/>
  <c r="D37" i="2"/>
  <c r="Y37" i="2"/>
  <c r="D40" i="2"/>
  <c r="D33" i="2"/>
  <c r="X34" i="2"/>
  <c r="Y27" i="2"/>
  <c r="E27" i="2"/>
  <c r="D29" i="2"/>
  <c r="G32" i="2"/>
  <c r="Y33" i="2"/>
  <c r="D28" i="2"/>
  <c r="U32" i="2"/>
  <c r="H32" i="2" s="1"/>
  <c r="J32" i="2" s="1"/>
  <c r="AA32" i="2" s="1"/>
  <c r="W31" i="2"/>
  <c r="I31" i="2" s="1"/>
  <c r="W33" i="2"/>
  <c r="I33" i="2" s="1"/>
  <c r="U29" i="4"/>
  <c r="X34" i="4"/>
  <c r="U36" i="4"/>
  <c r="U40" i="4"/>
  <c r="X30" i="4"/>
  <c r="H31" i="4"/>
  <c r="W33" i="4"/>
  <c r="I33" i="4" s="1"/>
  <c r="Q75" i="3"/>
  <c r="Q76" i="3" s="1"/>
  <c r="Q78" i="3" s="1"/>
  <c r="Q80" i="3" s="1"/>
  <c r="P75" i="3"/>
  <c r="P76" i="3" s="1"/>
  <c r="P78" i="3" s="1"/>
  <c r="P80" i="3" s="1"/>
  <c r="V87" i="4"/>
  <c r="O15" i="5"/>
  <c r="N15" i="5"/>
  <c r="O11" i="5"/>
  <c r="N11" i="5"/>
  <c r="O33" i="5"/>
  <c r="N33" i="5"/>
  <c r="M33" i="5"/>
  <c r="N11" i="3"/>
  <c r="O11" i="3"/>
  <c r="N15" i="3"/>
  <c r="O15" i="3"/>
  <c r="N19" i="3"/>
  <c r="O19" i="3"/>
  <c r="N22" i="3"/>
  <c r="O22" i="3"/>
  <c r="N23" i="3"/>
  <c r="O23" i="3"/>
  <c r="N24" i="3"/>
  <c r="O24" i="3"/>
  <c r="N25" i="3"/>
  <c r="O25" i="3"/>
  <c r="N26" i="3"/>
  <c r="O26" i="3"/>
  <c r="N27" i="3"/>
  <c r="O27" i="3"/>
  <c r="N28" i="3"/>
  <c r="O28" i="3"/>
  <c r="N29" i="3"/>
  <c r="O29" i="3"/>
  <c r="N30" i="3"/>
  <c r="O30" i="3"/>
  <c r="N31" i="3"/>
  <c r="O31" i="3"/>
  <c r="N32" i="3"/>
  <c r="O32" i="3"/>
  <c r="N33" i="3"/>
  <c r="O33" i="3"/>
  <c r="W32" i="2" l="1"/>
  <c r="I32" i="2" s="1"/>
  <c r="Z31" i="2"/>
  <c r="J31" i="2" s="1"/>
  <c r="Z33" i="2"/>
  <c r="AC33" i="2" s="1"/>
  <c r="D31" i="2"/>
  <c r="Z30" i="2"/>
  <c r="AC30" i="2" s="1"/>
  <c r="X29" i="2"/>
  <c r="W30" i="2"/>
  <c r="I30" i="2" s="1"/>
  <c r="H30" i="2"/>
  <c r="D27" i="2"/>
  <c r="D38" i="2"/>
  <c r="D34" i="2"/>
  <c r="AB32" i="2"/>
  <c r="M32" i="2" s="1"/>
  <c r="Z34" i="2"/>
  <c r="X35" i="2"/>
  <c r="H34" i="2"/>
  <c r="W34" i="2"/>
  <c r="I34" i="2" s="1"/>
  <c r="X29" i="4"/>
  <c r="W30" i="4"/>
  <c r="I30" i="4" s="1"/>
  <c r="H29" i="4"/>
  <c r="H30" i="4"/>
  <c r="X35" i="4"/>
  <c r="W34" i="4"/>
  <c r="I34" i="4" s="1"/>
  <c r="H34" i="4"/>
  <c r="Q82" i="3"/>
  <c r="Q81" i="3"/>
  <c r="P82" i="3"/>
  <c r="P81" i="3"/>
  <c r="U87" i="4"/>
  <c r="N14" i="5"/>
  <c r="O14" i="5"/>
  <c r="N19" i="5"/>
  <c r="O19" i="5"/>
  <c r="N22" i="5"/>
  <c r="O22" i="5"/>
  <c r="N23" i="5"/>
  <c r="O23" i="5"/>
  <c r="N24" i="5"/>
  <c r="O24" i="5"/>
  <c r="N25" i="5"/>
  <c r="O25" i="5"/>
  <c r="N26" i="5"/>
  <c r="O26" i="5"/>
  <c r="N27" i="5"/>
  <c r="O27" i="5"/>
  <c r="N28" i="5"/>
  <c r="O28" i="5"/>
  <c r="N29" i="5"/>
  <c r="O29" i="5"/>
  <c r="N30" i="5"/>
  <c r="O30" i="5"/>
  <c r="N31" i="5"/>
  <c r="O31" i="5"/>
  <c r="N32" i="5"/>
  <c r="O32" i="5"/>
  <c r="AC34" i="2" l="1"/>
  <c r="G34" i="2" s="1"/>
  <c r="J33" i="2"/>
  <c r="AA33" i="2" s="1"/>
  <c r="AC31" i="2"/>
  <c r="AB31" i="2" s="1"/>
  <c r="J34" i="2"/>
  <c r="AE32" i="2"/>
  <c r="K32" i="2"/>
  <c r="L32" i="2" s="1"/>
  <c r="Z29" i="2"/>
  <c r="AC29" i="2" s="1"/>
  <c r="X28" i="2"/>
  <c r="W29" i="2"/>
  <c r="I29" i="2" s="1"/>
  <c r="H29" i="2"/>
  <c r="Z35" i="2"/>
  <c r="AC35" i="2" s="1"/>
  <c r="X36" i="2"/>
  <c r="H35" i="2"/>
  <c r="W35" i="2"/>
  <c r="I35" i="2" s="1"/>
  <c r="AB33" i="2"/>
  <c r="G33" i="2"/>
  <c r="AB30" i="2"/>
  <c r="G30" i="2"/>
  <c r="J30" i="2"/>
  <c r="AA30" i="2" s="1"/>
  <c r="X28" i="4"/>
  <c r="W29" i="4"/>
  <c r="I29" i="4" s="1"/>
  <c r="X36" i="4"/>
  <c r="W35" i="4"/>
  <c r="I35" i="4" s="1"/>
  <c r="H35" i="4"/>
  <c r="N16" i="3"/>
  <c r="N9" i="1"/>
  <c r="O9" i="1"/>
  <c r="AA34" i="2" l="1"/>
  <c r="AB34" i="2"/>
  <c r="M33" i="2"/>
  <c r="K33" i="2" s="1"/>
  <c r="L33" i="2" s="1"/>
  <c r="M30" i="2"/>
  <c r="K30" i="2" s="1"/>
  <c r="L30" i="2" s="1"/>
  <c r="AA31" i="2"/>
  <c r="M31" i="2" s="1"/>
  <c r="K31" i="2" s="1"/>
  <c r="L31" i="2" s="1"/>
  <c r="G31" i="2"/>
  <c r="J29" i="2"/>
  <c r="N63" i="3"/>
  <c r="N67" i="3"/>
  <c r="N69" i="3" s="1"/>
  <c r="N66" i="3"/>
  <c r="G35" i="2"/>
  <c r="AB35" i="2"/>
  <c r="J35" i="2"/>
  <c r="AA35" i="2" s="1"/>
  <c r="X27" i="2"/>
  <c r="Z28" i="2"/>
  <c r="AC28" i="2" s="1"/>
  <c r="W28" i="2"/>
  <c r="I28" i="2" s="1"/>
  <c r="H28" i="2"/>
  <c r="J28" i="2" s="1"/>
  <c r="Z36" i="2"/>
  <c r="AC36" i="2" s="1"/>
  <c r="X37" i="2"/>
  <c r="H36" i="2"/>
  <c r="W36" i="2"/>
  <c r="I36" i="2" s="1"/>
  <c r="AB29" i="2"/>
  <c r="G29" i="2"/>
  <c r="AA29" i="2"/>
  <c r="X37" i="4"/>
  <c r="W36" i="4"/>
  <c r="I36" i="4" s="1"/>
  <c r="H36" i="4"/>
  <c r="X27" i="4"/>
  <c r="W28" i="4"/>
  <c r="I28" i="4" s="1"/>
  <c r="H28" i="4"/>
  <c r="O9" i="3"/>
  <c r="O9" i="5" s="1"/>
  <c r="N9" i="3"/>
  <c r="N9" i="5" s="1"/>
  <c r="O16" i="3"/>
  <c r="F9" i="2"/>
  <c r="V100" i="2"/>
  <c r="S100" i="2"/>
  <c r="I9" i="2"/>
  <c r="J7" i="4"/>
  <c r="J8" i="4"/>
  <c r="M34" i="2" l="1"/>
  <c r="K34" i="2" s="1"/>
  <c r="L34" i="2" s="1"/>
  <c r="M29" i="2"/>
  <c r="K29" i="2" s="1"/>
  <c r="L29" i="2" s="1"/>
  <c r="M35" i="2"/>
  <c r="K35" i="2" s="1"/>
  <c r="L35" i="2" s="1"/>
  <c r="O63" i="3"/>
  <c r="O67" i="3"/>
  <c r="O69" i="3" s="1"/>
  <c r="O66" i="3"/>
  <c r="N68" i="3"/>
  <c r="N70" i="3" s="1"/>
  <c r="J36" i="2"/>
  <c r="AA36" i="2" s="1"/>
  <c r="X38" i="2"/>
  <c r="Z37" i="2"/>
  <c r="AC37" i="2" s="1"/>
  <c r="W37" i="2"/>
  <c r="I37" i="2" s="1"/>
  <c r="H37" i="2"/>
  <c r="J37" i="2" s="1"/>
  <c r="AA28" i="2"/>
  <c r="G28" i="2"/>
  <c r="AB28" i="2"/>
  <c r="AB36" i="2"/>
  <c r="G36" i="2"/>
  <c r="Z27" i="2"/>
  <c r="AC27" i="2" s="1"/>
  <c r="H27" i="2"/>
  <c r="W27" i="2"/>
  <c r="I27" i="2" s="1"/>
  <c r="X38" i="4"/>
  <c r="W37" i="4"/>
  <c r="I37" i="4" s="1"/>
  <c r="H37" i="4"/>
  <c r="W27" i="4"/>
  <c r="I27" i="4" s="1"/>
  <c r="H27" i="4"/>
  <c r="N12" i="3"/>
  <c r="O12" i="3"/>
  <c r="O13" i="3" s="1"/>
  <c r="O18" i="3" s="1"/>
  <c r="O40" i="2" s="1"/>
  <c r="M36" i="2" l="1"/>
  <c r="K36" i="2" s="1"/>
  <c r="L36" i="2" s="1"/>
  <c r="M28" i="2"/>
  <c r="K28" i="2" s="1"/>
  <c r="L28" i="2" s="1"/>
  <c r="O61" i="3"/>
  <c r="AB27" i="2"/>
  <c r="G27" i="2"/>
  <c r="AB37" i="2"/>
  <c r="M37" i="2" s="1"/>
  <c r="G37" i="2"/>
  <c r="AA37" i="2"/>
  <c r="N13" i="3"/>
  <c r="N18" i="3" s="1"/>
  <c r="O39" i="2" s="1"/>
  <c r="N61" i="3"/>
  <c r="J27" i="2"/>
  <c r="AA27" i="2" s="1"/>
  <c r="Z38" i="2"/>
  <c r="AC38" i="2" s="1"/>
  <c r="X39" i="2"/>
  <c r="H38" i="2"/>
  <c r="J38" i="2" s="1"/>
  <c r="W38" i="2"/>
  <c r="I38" i="2" s="1"/>
  <c r="O68" i="3"/>
  <c r="O70" i="3" s="1"/>
  <c r="H38" i="4"/>
  <c r="X39" i="4"/>
  <c r="W38" i="4"/>
  <c r="I38" i="4" s="1"/>
  <c r="X87" i="4"/>
  <c r="N21" i="3"/>
  <c r="N21" i="5" s="1"/>
  <c r="M27" i="2" l="1"/>
  <c r="K27" i="2" s="1"/>
  <c r="L27" i="2" s="1"/>
  <c r="AB38" i="2"/>
  <c r="G38" i="2"/>
  <c r="AA38" i="2"/>
  <c r="Z39" i="2"/>
  <c r="AC39" i="2" s="1"/>
  <c r="X40" i="2"/>
  <c r="H39" i="2"/>
  <c r="J39" i="2" s="1"/>
  <c r="W39" i="2"/>
  <c r="I39" i="2" s="1"/>
  <c r="K37" i="2"/>
  <c r="L37" i="2" s="1"/>
  <c r="X40" i="4"/>
  <c r="H39" i="4"/>
  <c r="W39" i="4"/>
  <c r="I39" i="4" s="1"/>
  <c r="W87" i="4"/>
  <c r="N8" i="1"/>
  <c r="N8" i="3" s="1"/>
  <c r="N8" i="5" s="1"/>
  <c r="C8" i="1"/>
  <c r="C8" i="3" s="1"/>
  <c r="C8" i="5" s="1"/>
  <c r="B20" i="5"/>
  <c r="Q11" i="4"/>
  <c r="Q12" i="4"/>
  <c r="Q13" i="4"/>
  <c r="Q14" i="4"/>
  <c r="Q15" i="4"/>
  <c r="P10" i="4"/>
  <c r="P11" i="4"/>
  <c r="C11" i="4" s="1"/>
  <c r="P12" i="4"/>
  <c r="C12" i="4" s="1"/>
  <c r="P13" i="4"/>
  <c r="C13" i="4" s="1"/>
  <c r="P14" i="4"/>
  <c r="C14" i="4" s="1"/>
  <c r="P15" i="4"/>
  <c r="C15" i="4" s="1"/>
  <c r="P9" i="4"/>
  <c r="F9" i="4"/>
  <c r="C10" i="1"/>
  <c r="D10" i="1" s="1"/>
  <c r="V12" i="3" s="1"/>
  <c r="D10" i="5" s="1"/>
  <c r="F92" i="6"/>
  <c r="F71" i="6"/>
  <c r="F50" i="6"/>
  <c r="H27" i="6"/>
  <c r="H28" i="6" s="1"/>
  <c r="H29" i="6" s="1"/>
  <c r="H30" i="6" s="1"/>
  <c r="H31" i="6" s="1"/>
  <c r="H32" i="6" s="1"/>
  <c r="H33" i="6" s="1"/>
  <c r="H34" i="6" s="1"/>
  <c r="H35" i="6" s="1"/>
  <c r="H36" i="6" s="1"/>
  <c r="H37" i="6" s="1"/>
  <c r="H38" i="6" s="1"/>
  <c r="H39" i="6" s="1"/>
  <c r="H40" i="6" s="1"/>
  <c r="H41" i="6" s="1"/>
  <c r="H42" i="6" s="1"/>
  <c r="H43" i="6" s="1"/>
  <c r="H44" i="6" s="1"/>
  <c r="H45" i="6" s="1"/>
  <c r="H46" i="6" s="1"/>
  <c r="H47" i="6" s="1"/>
  <c r="H48" i="6" s="1"/>
  <c r="H19" i="6"/>
  <c r="H20" i="6" s="1"/>
  <c r="B13" i="6"/>
  <c r="L33" i="5"/>
  <c r="K33" i="5"/>
  <c r="J33" i="5"/>
  <c r="I33" i="5"/>
  <c r="H33" i="5"/>
  <c r="G33" i="5"/>
  <c r="F33" i="5"/>
  <c r="E33" i="5"/>
  <c r="D33" i="5"/>
  <c r="C33" i="5"/>
  <c r="B33" i="5"/>
  <c r="M14" i="5"/>
  <c r="L14" i="5"/>
  <c r="K14" i="5"/>
  <c r="J14" i="5"/>
  <c r="I14" i="5"/>
  <c r="H14" i="5"/>
  <c r="G14" i="5"/>
  <c r="F14" i="5"/>
  <c r="E14" i="5"/>
  <c r="D14" i="5"/>
  <c r="C14" i="5"/>
  <c r="B14" i="5"/>
  <c r="B72" i="5" s="1"/>
  <c r="A10" i="5"/>
  <c r="K150" i="4"/>
  <c r="G145" i="4"/>
  <c r="D148" i="4" s="1"/>
  <c r="M140" i="4"/>
  <c r="A136" i="4"/>
  <c r="L84" i="4"/>
  <c r="H84" i="4"/>
  <c r="F84" i="4"/>
  <c r="M81" i="4"/>
  <c r="G83" i="4" s="1"/>
  <c r="F81" i="4"/>
  <c r="F83" i="4" s="1"/>
  <c r="M77" i="4"/>
  <c r="M25" i="4"/>
  <c r="M24" i="4"/>
  <c r="N23" i="4"/>
  <c r="G23" i="4"/>
  <c r="F23" i="4"/>
  <c r="C19" i="4"/>
  <c r="K17" i="4"/>
  <c r="F17" i="4"/>
  <c r="N15" i="4"/>
  <c r="K15" i="4"/>
  <c r="I15" i="4"/>
  <c r="K149" i="4" s="1"/>
  <c r="F15" i="4"/>
  <c r="L13" i="4"/>
  <c r="H150" i="4" s="1"/>
  <c r="G13" i="4"/>
  <c r="J12" i="4"/>
  <c r="N11" i="4"/>
  <c r="J11" i="4"/>
  <c r="K146" i="4" s="1"/>
  <c r="G11" i="4"/>
  <c r="K147" i="4" s="1"/>
  <c r="M9" i="4"/>
  <c r="I9" i="4"/>
  <c r="C8" i="4"/>
  <c r="K148" i="4" s="1"/>
  <c r="M7" i="4"/>
  <c r="H7" i="4"/>
  <c r="M3" i="4"/>
  <c r="M1" i="4"/>
  <c r="M33" i="3"/>
  <c r="K33" i="3"/>
  <c r="J33" i="3"/>
  <c r="I33" i="3"/>
  <c r="H33" i="3"/>
  <c r="G33" i="3"/>
  <c r="F33" i="3"/>
  <c r="E33" i="3"/>
  <c r="D33" i="3"/>
  <c r="C33" i="3"/>
  <c r="B33" i="3"/>
  <c r="H32" i="3"/>
  <c r="H32" i="5" s="1"/>
  <c r="D27" i="3"/>
  <c r="D27" i="5" s="1"/>
  <c r="H15" i="3"/>
  <c r="B14" i="3"/>
  <c r="B72" i="3" s="1"/>
  <c r="H11" i="3"/>
  <c r="H77" i="3" s="1"/>
  <c r="K150" i="2"/>
  <c r="H150" i="2"/>
  <c r="K149" i="2"/>
  <c r="K148" i="2"/>
  <c r="K147" i="2"/>
  <c r="K146" i="2"/>
  <c r="G145" i="2"/>
  <c r="D148" i="2" s="1"/>
  <c r="A136" i="2"/>
  <c r="L84" i="2"/>
  <c r="H84" i="2"/>
  <c r="F84" i="2"/>
  <c r="M81" i="2"/>
  <c r="F81" i="2"/>
  <c r="E148" i="2" s="1"/>
  <c r="M25" i="2"/>
  <c r="M24" i="2"/>
  <c r="N23" i="2"/>
  <c r="G23" i="2"/>
  <c r="F23" i="2"/>
  <c r="C15" i="2"/>
  <c r="C14" i="2"/>
  <c r="C13" i="2"/>
  <c r="C12" i="2"/>
  <c r="C11" i="2"/>
  <c r="M4" i="2"/>
  <c r="M4" i="4" s="1"/>
  <c r="D74" i="4" s="1"/>
  <c r="J74" i="4" s="1"/>
  <c r="N74" i="4" s="1"/>
  <c r="M2" i="2"/>
  <c r="M2" i="4" s="1"/>
  <c r="M1" i="2"/>
  <c r="K32" i="3"/>
  <c r="K32" i="5" s="1"/>
  <c r="J32" i="3"/>
  <c r="J32" i="5" s="1"/>
  <c r="I32" i="3"/>
  <c r="I32" i="5" s="1"/>
  <c r="F32" i="3"/>
  <c r="F32" i="5" s="1"/>
  <c r="E32" i="3"/>
  <c r="E32" i="5" s="1"/>
  <c r="D32" i="3"/>
  <c r="D32" i="5" s="1"/>
  <c r="C32" i="3"/>
  <c r="C32" i="5" s="1"/>
  <c r="B32" i="3"/>
  <c r="B32" i="5" s="1"/>
  <c r="M31" i="3"/>
  <c r="M31" i="5" s="1"/>
  <c r="L31" i="5"/>
  <c r="K31" i="3"/>
  <c r="K31" i="5" s="1"/>
  <c r="J31" i="3"/>
  <c r="J31" i="5" s="1"/>
  <c r="I31" i="3"/>
  <c r="I31" i="5" s="1"/>
  <c r="H31" i="3"/>
  <c r="H31" i="5" s="1"/>
  <c r="F31" i="3"/>
  <c r="F31" i="5" s="1"/>
  <c r="E31" i="3"/>
  <c r="E31" i="5" s="1"/>
  <c r="D31" i="3"/>
  <c r="D31" i="5" s="1"/>
  <c r="C31" i="3"/>
  <c r="C31" i="5" s="1"/>
  <c r="B31" i="3"/>
  <c r="B31" i="5" s="1"/>
  <c r="M30" i="3"/>
  <c r="M30" i="5" s="1"/>
  <c r="L30" i="5"/>
  <c r="K30" i="3"/>
  <c r="K30" i="5" s="1"/>
  <c r="J30" i="3"/>
  <c r="J30" i="5" s="1"/>
  <c r="I30" i="3"/>
  <c r="I30" i="5" s="1"/>
  <c r="H30" i="3"/>
  <c r="H30" i="5" s="1"/>
  <c r="F30" i="3"/>
  <c r="F30" i="5" s="1"/>
  <c r="E30" i="3"/>
  <c r="E30" i="5" s="1"/>
  <c r="D30" i="3"/>
  <c r="D30" i="5" s="1"/>
  <c r="C30" i="3"/>
  <c r="C30" i="5" s="1"/>
  <c r="B30" i="3"/>
  <c r="B30" i="5" s="1"/>
  <c r="M29" i="3"/>
  <c r="M29" i="5" s="1"/>
  <c r="L29" i="5"/>
  <c r="K29" i="3"/>
  <c r="K29" i="5" s="1"/>
  <c r="J29" i="3"/>
  <c r="J29" i="5" s="1"/>
  <c r="I29" i="3"/>
  <c r="I29" i="5" s="1"/>
  <c r="H29" i="3"/>
  <c r="H29" i="5" s="1"/>
  <c r="F29" i="3"/>
  <c r="F29" i="5" s="1"/>
  <c r="E29" i="3"/>
  <c r="E29" i="5" s="1"/>
  <c r="D29" i="3"/>
  <c r="D29" i="5" s="1"/>
  <c r="C29" i="3"/>
  <c r="C29" i="5" s="1"/>
  <c r="B29" i="3"/>
  <c r="B29" i="5" s="1"/>
  <c r="M28" i="3"/>
  <c r="M28" i="5" s="1"/>
  <c r="L28" i="5"/>
  <c r="K28" i="3"/>
  <c r="K28" i="5" s="1"/>
  <c r="J28" i="3"/>
  <c r="J28" i="5" s="1"/>
  <c r="I28" i="3"/>
  <c r="I28" i="5" s="1"/>
  <c r="H28" i="3"/>
  <c r="H28" i="5" s="1"/>
  <c r="F28" i="3"/>
  <c r="F28" i="5" s="1"/>
  <c r="E28" i="3"/>
  <c r="E28" i="5" s="1"/>
  <c r="D28" i="3"/>
  <c r="D28" i="5" s="1"/>
  <c r="C28" i="3"/>
  <c r="C28" i="5" s="1"/>
  <c r="B28" i="3"/>
  <c r="B28" i="5" s="1"/>
  <c r="M27" i="3"/>
  <c r="M27" i="5" s="1"/>
  <c r="L27" i="5"/>
  <c r="K27" i="3"/>
  <c r="K27" i="5" s="1"/>
  <c r="J27" i="3"/>
  <c r="J27" i="5" s="1"/>
  <c r="I27" i="3"/>
  <c r="I27" i="5" s="1"/>
  <c r="H27" i="3"/>
  <c r="H27" i="5" s="1"/>
  <c r="F27" i="3"/>
  <c r="F27" i="5" s="1"/>
  <c r="E27" i="3"/>
  <c r="E27" i="5" s="1"/>
  <c r="C27" i="3"/>
  <c r="C27" i="5" s="1"/>
  <c r="B27" i="3"/>
  <c r="B27" i="5" s="1"/>
  <c r="M26" i="3"/>
  <c r="M26" i="5" s="1"/>
  <c r="L26" i="5"/>
  <c r="K26" i="3"/>
  <c r="K26" i="5" s="1"/>
  <c r="J26" i="3"/>
  <c r="J26" i="5" s="1"/>
  <c r="I26" i="3"/>
  <c r="I26" i="5" s="1"/>
  <c r="H26" i="3"/>
  <c r="H26" i="5" s="1"/>
  <c r="F26" i="3"/>
  <c r="F26" i="5" s="1"/>
  <c r="E26" i="3"/>
  <c r="E26" i="5" s="1"/>
  <c r="D26" i="3"/>
  <c r="D26" i="5" s="1"/>
  <c r="C26" i="3"/>
  <c r="C26" i="5" s="1"/>
  <c r="B26" i="3"/>
  <c r="B26" i="5" s="1"/>
  <c r="M25" i="3"/>
  <c r="M25" i="5" s="1"/>
  <c r="L25" i="3"/>
  <c r="L25" i="5" s="1"/>
  <c r="K25" i="3"/>
  <c r="K25" i="5" s="1"/>
  <c r="J25" i="3"/>
  <c r="J25" i="5" s="1"/>
  <c r="I25" i="3"/>
  <c r="I25" i="5" s="1"/>
  <c r="H25" i="3"/>
  <c r="H25" i="5" s="1"/>
  <c r="F25" i="3"/>
  <c r="F25" i="5" s="1"/>
  <c r="E25" i="3"/>
  <c r="E25" i="5" s="1"/>
  <c r="D25" i="3"/>
  <c r="D25" i="5" s="1"/>
  <c r="C25" i="3"/>
  <c r="C25" i="5" s="1"/>
  <c r="B25" i="3"/>
  <c r="B25" i="5" s="1"/>
  <c r="M24" i="3"/>
  <c r="M24" i="5" s="1"/>
  <c r="L24" i="3"/>
  <c r="L24" i="5" s="1"/>
  <c r="K24" i="3"/>
  <c r="K24" i="5" s="1"/>
  <c r="J24" i="3"/>
  <c r="J24" i="5" s="1"/>
  <c r="I24" i="3"/>
  <c r="I24" i="5" s="1"/>
  <c r="H24" i="3"/>
  <c r="H24" i="5" s="1"/>
  <c r="F24" i="3"/>
  <c r="F24" i="5" s="1"/>
  <c r="E24" i="3"/>
  <c r="E24" i="5" s="1"/>
  <c r="D24" i="3"/>
  <c r="D24" i="5" s="1"/>
  <c r="C24" i="3"/>
  <c r="C24" i="5" s="1"/>
  <c r="B24" i="3"/>
  <c r="B24" i="5" s="1"/>
  <c r="M23" i="3"/>
  <c r="L23" i="3"/>
  <c r="K23" i="3"/>
  <c r="J23" i="3"/>
  <c r="I23" i="3"/>
  <c r="H23" i="3"/>
  <c r="F23" i="3"/>
  <c r="E23" i="3"/>
  <c r="D23" i="3"/>
  <c r="C23" i="3"/>
  <c r="B23" i="3"/>
  <c r="M22" i="3"/>
  <c r="M22" i="5" s="1"/>
  <c r="L22" i="3"/>
  <c r="L22" i="5" s="1"/>
  <c r="K22" i="3"/>
  <c r="K22" i="5" s="1"/>
  <c r="J22" i="3"/>
  <c r="J22" i="5" s="1"/>
  <c r="I22" i="3"/>
  <c r="I22" i="5" s="1"/>
  <c r="H22" i="3"/>
  <c r="H22" i="5" s="1"/>
  <c r="F22" i="3"/>
  <c r="F22" i="5" s="1"/>
  <c r="E22" i="3"/>
  <c r="E22" i="5" s="1"/>
  <c r="D22" i="3"/>
  <c r="D22" i="5" s="1"/>
  <c r="C22" i="3"/>
  <c r="C22" i="5" s="1"/>
  <c r="B22" i="3"/>
  <c r="B22" i="5" s="1"/>
  <c r="M21" i="3"/>
  <c r="M21" i="5" s="1"/>
  <c r="B21" i="3"/>
  <c r="B21" i="5" s="1"/>
  <c r="C19" i="3"/>
  <c r="C19" i="5" s="1"/>
  <c r="B19" i="3"/>
  <c r="B19" i="5" s="1"/>
  <c r="B11" i="6"/>
  <c r="B10" i="6"/>
  <c r="B9" i="6"/>
  <c r="K15" i="3"/>
  <c r="J15" i="3"/>
  <c r="I15" i="3"/>
  <c r="F15" i="3"/>
  <c r="E15" i="3"/>
  <c r="D15" i="3"/>
  <c r="C15" i="3"/>
  <c r="B15" i="3"/>
  <c r="B7" i="6"/>
  <c r="B6" i="6"/>
  <c r="B5" i="6"/>
  <c r="K11" i="3"/>
  <c r="K77" i="3" s="1"/>
  <c r="J11" i="3"/>
  <c r="I11" i="3"/>
  <c r="F11" i="3"/>
  <c r="E11" i="3"/>
  <c r="D11" i="3"/>
  <c r="C11" i="3"/>
  <c r="C77" i="3" s="1"/>
  <c r="B11" i="3"/>
  <c r="B10" i="3"/>
  <c r="B10" i="5" s="1"/>
  <c r="M9" i="1"/>
  <c r="L9" i="1"/>
  <c r="K9" i="1"/>
  <c r="J9" i="1"/>
  <c r="I9" i="1"/>
  <c r="H9" i="1"/>
  <c r="G9" i="1"/>
  <c r="F9" i="1"/>
  <c r="E9" i="1"/>
  <c r="D9" i="1"/>
  <c r="C9" i="1"/>
  <c r="B9" i="1"/>
  <c r="M8" i="1"/>
  <c r="M8" i="3" s="1"/>
  <c r="M8" i="5" s="1"/>
  <c r="B8" i="1"/>
  <c r="B8" i="3" s="1"/>
  <c r="B8" i="5" s="1"/>
  <c r="G2" i="1"/>
  <c r="M38" i="2" l="1"/>
  <c r="K38" i="2" s="1"/>
  <c r="L38" i="2" s="1"/>
  <c r="Z40" i="2"/>
  <c r="AC40" i="2" s="1"/>
  <c r="W40" i="2"/>
  <c r="I40" i="2" s="1"/>
  <c r="H40" i="2"/>
  <c r="J40" i="2" s="1"/>
  <c r="AA39" i="2"/>
  <c r="AB39" i="2"/>
  <c r="G39" i="2"/>
  <c r="W40" i="4"/>
  <c r="I40" i="4" s="1"/>
  <c r="H40" i="4"/>
  <c r="H2" i="5"/>
  <c r="H2" i="3"/>
  <c r="E9" i="3"/>
  <c r="E9" i="5" s="1"/>
  <c r="M9" i="3"/>
  <c r="M9" i="5" s="1"/>
  <c r="B9" i="3"/>
  <c r="B9" i="5" s="1"/>
  <c r="F9" i="3"/>
  <c r="F9" i="5" s="1"/>
  <c r="J9" i="3"/>
  <c r="J9" i="5" s="1"/>
  <c r="C9" i="3"/>
  <c r="C9" i="5" s="1"/>
  <c r="K9" i="3"/>
  <c r="K9" i="5" s="1"/>
  <c r="D9" i="3"/>
  <c r="D9" i="5" s="1"/>
  <c r="H9" i="3"/>
  <c r="H9" i="5" s="1"/>
  <c r="L9" i="3"/>
  <c r="L9" i="5" s="1"/>
  <c r="D2" i="4"/>
  <c r="D76" i="4" s="1"/>
  <c r="D139" i="4" s="1"/>
  <c r="O8" i="1"/>
  <c r="O8" i="3" s="1"/>
  <c r="O8" i="5" s="1"/>
  <c r="O21" i="3"/>
  <c r="O21" i="5" s="1"/>
  <c r="U12" i="3"/>
  <c r="C10" i="5" s="1"/>
  <c r="D10" i="3"/>
  <c r="C10" i="3"/>
  <c r="I145" i="4"/>
  <c r="G11" i="5"/>
  <c r="G77" i="5" s="1"/>
  <c r="I11" i="5"/>
  <c r="I77" i="5" s="1"/>
  <c r="E11" i="5"/>
  <c r="E77" i="5" s="1"/>
  <c r="I9" i="3"/>
  <c r="I9" i="5" s="1"/>
  <c r="I145" i="2"/>
  <c r="C21" i="3"/>
  <c r="C21" i="5" s="1"/>
  <c r="C14" i="3"/>
  <c r="D14" i="3" s="1"/>
  <c r="E14" i="3" s="1"/>
  <c r="F14" i="3" s="1"/>
  <c r="G14" i="3" s="1"/>
  <c r="H14" i="3" s="1"/>
  <c r="I14" i="3" s="1"/>
  <c r="J14" i="3" s="1"/>
  <c r="K14" i="3" s="1"/>
  <c r="L14" i="3" s="1"/>
  <c r="M14" i="3" s="1"/>
  <c r="N14" i="3" s="1"/>
  <c r="N74" i="3" s="1"/>
  <c r="N83" i="2"/>
  <c r="F83" i="2"/>
  <c r="G83" i="2"/>
  <c r="H71" i="6"/>
  <c r="H92" i="6"/>
  <c r="H50" i="6"/>
  <c r="L27" i="6"/>
  <c r="E10" i="1"/>
  <c r="H64" i="3"/>
  <c r="D23" i="5"/>
  <c r="D64" i="3"/>
  <c r="D65" i="3"/>
  <c r="L23" i="5"/>
  <c r="D74" i="2"/>
  <c r="J74" i="2" s="1"/>
  <c r="N74" i="2" s="1"/>
  <c r="D77" i="3"/>
  <c r="L11" i="3"/>
  <c r="L15" i="3"/>
  <c r="B23" i="5"/>
  <c r="B65" i="3"/>
  <c r="B64" i="3"/>
  <c r="J23" i="5"/>
  <c r="J65" i="3"/>
  <c r="J64" i="3"/>
  <c r="L32" i="5"/>
  <c r="M78" i="2"/>
  <c r="B2" i="6"/>
  <c r="G9" i="3"/>
  <c r="G9" i="5" s="1"/>
  <c r="B23" i="6"/>
  <c r="G30" i="3"/>
  <c r="G30" i="5" s="1"/>
  <c r="E77" i="3"/>
  <c r="M11" i="3"/>
  <c r="M15" i="3"/>
  <c r="C23" i="5"/>
  <c r="C65" i="3"/>
  <c r="C64" i="3"/>
  <c r="K23" i="5"/>
  <c r="K65" i="3"/>
  <c r="K64" i="3"/>
  <c r="B18" i="6"/>
  <c r="G25" i="3"/>
  <c r="G25" i="5" s="1"/>
  <c r="B22" i="6"/>
  <c r="G29" i="3"/>
  <c r="G29" i="5" s="1"/>
  <c r="M32" i="3"/>
  <c r="M32" i="5" s="1"/>
  <c r="B15" i="6"/>
  <c r="G22" i="3"/>
  <c r="G22" i="5" s="1"/>
  <c r="G26" i="3"/>
  <c r="G26" i="5" s="1"/>
  <c r="F77" i="3"/>
  <c r="B4" i="6"/>
  <c r="G11" i="3"/>
  <c r="B8" i="6"/>
  <c r="G15" i="3"/>
  <c r="E23" i="5"/>
  <c r="E64" i="3"/>
  <c r="E65" i="3"/>
  <c r="M23" i="5"/>
  <c r="B17" i="6"/>
  <c r="G24" i="3"/>
  <c r="G24" i="5" s="1"/>
  <c r="B21" i="6"/>
  <c r="G28" i="3"/>
  <c r="G28" i="5" s="1"/>
  <c r="B25" i="6"/>
  <c r="L3" i="6" s="1"/>
  <c r="G32" i="3"/>
  <c r="G32" i="5" s="1"/>
  <c r="F23" i="5"/>
  <c r="F64" i="3"/>
  <c r="F65" i="3"/>
  <c r="I77" i="3"/>
  <c r="B16" i="6"/>
  <c r="O24" i="6" s="1"/>
  <c r="G23" i="3"/>
  <c r="B20" i="6"/>
  <c r="G27" i="3"/>
  <c r="G27" i="5" s="1"/>
  <c r="B24" i="6"/>
  <c r="G31" i="3"/>
  <c r="G31" i="5" s="1"/>
  <c r="D2" i="2"/>
  <c r="D76" i="2" s="1"/>
  <c r="I65" i="3"/>
  <c r="I23" i="5"/>
  <c r="I64" i="3"/>
  <c r="B77" i="3"/>
  <c r="J77" i="3"/>
  <c r="H23" i="5"/>
  <c r="H65" i="3"/>
  <c r="E148" i="4"/>
  <c r="N83" i="4"/>
  <c r="H21" i="6"/>
  <c r="F51" i="6"/>
  <c r="F72" i="6"/>
  <c r="M39" i="2" l="1"/>
  <c r="K39" i="2" s="1"/>
  <c r="L39" i="2" s="1"/>
  <c r="N75" i="3"/>
  <c r="N73" i="3"/>
  <c r="N79" i="3" s="1"/>
  <c r="AB40" i="2"/>
  <c r="G40" i="2"/>
  <c r="AA40" i="2"/>
  <c r="C145" i="4"/>
  <c r="AD87" i="2"/>
  <c r="C87" i="4"/>
  <c r="N87" i="4"/>
  <c r="B87" i="4"/>
  <c r="O14" i="3"/>
  <c r="N17" i="3"/>
  <c r="P39" i="2" s="1"/>
  <c r="Q87" i="2"/>
  <c r="N87" i="2"/>
  <c r="F87" i="2"/>
  <c r="S87" i="2"/>
  <c r="R87" i="2"/>
  <c r="V87" i="2"/>
  <c r="C87" i="2"/>
  <c r="B87" i="2"/>
  <c r="H61" i="6"/>
  <c r="D8" i="1"/>
  <c r="D8" i="3" s="1"/>
  <c r="D8" i="5" s="1"/>
  <c r="D21" i="3"/>
  <c r="D21" i="5" s="1"/>
  <c r="H72" i="6"/>
  <c r="H73" i="6" s="1"/>
  <c r="H74" i="6" s="1"/>
  <c r="H51" i="6"/>
  <c r="H52" i="6" s="1"/>
  <c r="E10" i="3"/>
  <c r="E10" i="5" s="1"/>
  <c r="F10" i="1"/>
  <c r="D16" i="3"/>
  <c r="F52" i="6"/>
  <c r="I65" i="5"/>
  <c r="G23" i="5"/>
  <c r="G64" i="3"/>
  <c r="G65" i="3"/>
  <c r="F65" i="5"/>
  <c r="U72" i="6"/>
  <c r="B65" i="5"/>
  <c r="I16" i="3"/>
  <c r="L65" i="5"/>
  <c r="D19" i="3"/>
  <c r="D19" i="5" s="1"/>
  <c r="H11" i="5"/>
  <c r="H77" i="5" s="1"/>
  <c r="J16" i="3"/>
  <c r="L4" i="6"/>
  <c r="O4" i="6" s="1"/>
  <c r="K65" i="5"/>
  <c r="H65" i="5"/>
  <c r="E65" i="5"/>
  <c r="M78" i="4"/>
  <c r="M141" i="2"/>
  <c r="M141" i="4" s="1"/>
  <c r="L16" i="3"/>
  <c r="G15" i="5"/>
  <c r="F73" i="6"/>
  <c r="G77" i="3"/>
  <c r="O74" i="6"/>
  <c r="O72" i="6"/>
  <c r="O73" i="6"/>
  <c r="O19" i="6"/>
  <c r="O22" i="6"/>
  <c r="O75" i="6"/>
  <c r="O27" i="6"/>
  <c r="O23" i="6"/>
  <c r="O18" i="6"/>
  <c r="O3" i="6"/>
  <c r="O21" i="6"/>
  <c r="O20" i="6"/>
  <c r="C65" i="5"/>
  <c r="C145" i="2"/>
  <c r="D139" i="2"/>
  <c r="M16" i="3"/>
  <c r="K16" i="3"/>
  <c r="H16" i="3"/>
  <c r="H22" i="6"/>
  <c r="B26" i="6"/>
  <c r="B19" i="6" s="1"/>
  <c r="J65" i="5"/>
  <c r="B16" i="3"/>
  <c r="D65" i="5"/>
  <c r="F16" i="3"/>
  <c r="E16" i="3"/>
  <c r="C16" i="3"/>
  <c r="H15" i="5"/>
  <c r="H64" i="5" s="1"/>
  <c r="M40" i="2" l="1"/>
  <c r="K40" i="2" s="1"/>
  <c r="L40" i="2" s="1"/>
  <c r="O17" i="3"/>
  <c r="P40" i="2" s="1"/>
  <c r="O74" i="3"/>
  <c r="Q39" i="4"/>
  <c r="F39" i="4" s="1"/>
  <c r="N76" i="3"/>
  <c r="L66" i="3"/>
  <c r="L67" i="3"/>
  <c r="L69" i="3" s="1"/>
  <c r="L63" i="3"/>
  <c r="M66" i="3"/>
  <c r="M63" i="3"/>
  <c r="M67" i="3"/>
  <c r="M69" i="3" s="1"/>
  <c r="R101" i="4"/>
  <c r="R100" i="4"/>
  <c r="U87" i="2"/>
  <c r="R101" i="2"/>
  <c r="R100" i="2"/>
  <c r="H62" i="6"/>
  <c r="E8" i="1"/>
  <c r="E8" i="3" s="1"/>
  <c r="E8" i="5" s="1"/>
  <c r="E21" i="3"/>
  <c r="E21" i="5" s="1"/>
  <c r="G10" i="1"/>
  <c r="F10" i="3"/>
  <c r="F10" i="5" s="1"/>
  <c r="R72" i="6"/>
  <c r="D12" i="3"/>
  <c r="D13" i="3" s="1"/>
  <c r="J15" i="5"/>
  <c r="H67" i="3"/>
  <c r="H69" i="3" s="1"/>
  <c r="H63" i="3"/>
  <c r="H66" i="3"/>
  <c r="K12" i="3"/>
  <c r="K13" i="3" s="1"/>
  <c r="F11" i="5"/>
  <c r="F77" i="5" s="1"/>
  <c r="F74" i="6"/>
  <c r="R73" i="6"/>
  <c r="L15" i="5"/>
  <c r="L64" i="5" s="1"/>
  <c r="J67" i="3"/>
  <c r="J69" i="3" s="1"/>
  <c r="J63" i="3"/>
  <c r="J66" i="3"/>
  <c r="U73" i="6"/>
  <c r="C15" i="5"/>
  <c r="H12" i="3"/>
  <c r="H13" i="3" s="1"/>
  <c r="B11" i="5"/>
  <c r="B77" i="5" s="1"/>
  <c r="H53" i="6"/>
  <c r="C12" i="3"/>
  <c r="C13" i="3" s="1"/>
  <c r="C67" i="3"/>
  <c r="C69" i="3" s="1"/>
  <c r="C63" i="3"/>
  <c r="C66" i="3"/>
  <c r="B15" i="5"/>
  <c r="K67" i="3"/>
  <c r="K69" i="3" s="1"/>
  <c r="K63" i="3"/>
  <c r="K66" i="3"/>
  <c r="L5" i="6"/>
  <c r="L6" i="6" s="1"/>
  <c r="L7" i="6" s="1"/>
  <c r="L8" i="6" s="1"/>
  <c r="L9" i="6" s="1"/>
  <c r="L10" i="6" s="1"/>
  <c r="L11" i="6" s="1"/>
  <c r="K15" i="5"/>
  <c r="J12" i="3"/>
  <c r="J13" i="3" s="1"/>
  <c r="I15" i="5"/>
  <c r="M12" i="3"/>
  <c r="M13" i="3" s="1"/>
  <c r="D15" i="5"/>
  <c r="F15" i="5"/>
  <c r="D11" i="5"/>
  <c r="D77" i="5" s="1"/>
  <c r="M11" i="5"/>
  <c r="F53" i="6"/>
  <c r="E12" i="3"/>
  <c r="E13" i="3" s="1"/>
  <c r="B12" i="3"/>
  <c r="B13" i="3" s="1"/>
  <c r="E66" i="3"/>
  <c r="E67" i="3"/>
  <c r="E69" i="3" s="1"/>
  <c r="E63" i="3"/>
  <c r="B67" i="3"/>
  <c r="B69" i="3" s="1"/>
  <c r="B63" i="3"/>
  <c r="B66" i="3"/>
  <c r="G16" i="3"/>
  <c r="E87" i="2"/>
  <c r="P101" i="2" s="1"/>
  <c r="P102" i="2" s="1"/>
  <c r="M15" i="5"/>
  <c r="E19" i="3"/>
  <c r="E19" i="5" s="1"/>
  <c r="H75" i="6"/>
  <c r="F12" i="3"/>
  <c r="F13" i="3" s="1"/>
  <c r="J11" i="5"/>
  <c r="J77" i="5" s="1"/>
  <c r="C11" i="5"/>
  <c r="C77" i="5" s="1"/>
  <c r="I12" i="3"/>
  <c r="I13" i="3" s="1"/>
  <c r="E15" i="5"/>
  <c r="H23" i="6"/>
  <c r="F66" i="3"/>
  <c r="F67" i="3"/>
  <c r="F69" i="3" s="1"/>
  <c r="F63" i="3"/>
  <c r="L11" i="5"/>
  <c r="K11" i="5"/>
  <c r="K77" i="5" s="1"/>
  <c r="L12" i="3"/>
  <c r="L13" i="3" s="1"/>
  <c r="I67" i="3"/>
  <c r="I69" i="3" s="1"/>
  <c r="I63" i="3"/>
  <c r="I66" i="3"/>
  <c r="G64" i="5"/>
  <c r="G65" i="5"/>
  <c r="D66" i="3"/>
  <c r="D63" i="3"/>
  <c r="D67" i="3"/>
  <c r="D69" i="3" s="1"/>
  <c r="N78" i="3" l="1"/>
  <c r="N80" i="3" s="1"/>
  <c r="R39" i="4"/>
  <c r="S39" i="4" s="1"/>
  <c r="E39" i="4" s="1"/>
  <c r="Y39" i="4"/>
  <c r="N16" i="5"/>
  <c r="O75" i="3"/>
  <c r="O73" i="3"/>
  <c r="O79" i="3" s="1"/>
  <c r="L68" i="3"/>
  <c r="L70" i="3" s="1"/>
  <c r="L74" i="3" s="1"/>
  <c r="M68" i="3"/>
  <c r="M70" i="3" s="1"/>
  <c r="M74" i="3" s="1"/>
  <c r="M73" i="3" s="1"/>
  <c r="M79" i="3" s="1"/>
  <c r="M61" i="3"/>
  <c r="L61" i="3"/>
  <c r="Q101" i="2"/>
  <c r="R102" i="2"/>
  <c r="H63" i="6"/>
  <c r="F8" i="1"/>
  <c r="F8" i="3" s="1"/>
  <c r="F8" i="5" s="1"/>
  <c r="F21" i="3"/>
  <c r="F21" i="5" s="1"/>
  <c r="L12" i="6"/>
  <c r="O11" i="6"/>
  <c r="D61" i="3"/>
  <c r="C61" i="3"/>
  <c r="H10" i="1"/>
  <c r="B3" i="6"/>
  <c r="G10" i="3"/>
  <c r="G10" i="5" s="1"/>
  <c r="F61" i="3"/>
  <c r="E61" i="3"/>
  <c r="F68" i="3"/>
  <c r="F70" i="3" s="1"/>
  <c r="F74" i="3" s="1"/>
  <c r="F75" i="3" s="1"/>
  <c r="Q31" i="4" s="1"/>
  <c r="I18" i="3"/>
  <c r="O34" i="2" s="1"/>
  <c r="F19" i="3"/>
  <c r="F19" i="5" s="1"/>
  <c r="E18" i="3"/>
  <c r="O30" i="2" s="1"/>
  <c r="B64" i="5"/>
  <c r="I68" i="3"/>
  <c r="I70" i="3" s="1"/>
  <c r="I74" i="3" s="1"/>
  <c r="I75" i="3" s="1"/>
  <c r="Q34" i="4" s="1"/>
  <c r="F64" i="5"/>
  <c r="I64" i="5"/>
  <c r="L84" i="6"/>
  <c r="O5" i="6"/>
  <c r="B68" i="3"/>
  <c r="B70" i="3" s="1"/>
  <c r="B74" i="3" s="1"/>
  <c r="B75" i="3" s="1"/>
  <c r="Q27" i="4" s="1"/>
  <c r="H68" i="3"/>
  <c r="H70" i="3" s="1"/>
  <c r="H74" i="3" s="1"/>
  <c r="H75" i="3" s="1"/>
  <c r="Q33" i="4" s="1"/>
  <c r="E64" i="5"/>
  <c r="G12" i="3"/>
  <c r="G13" i="3" s="1"/>
  <c r="K64" i="5"/>
  <c r="H18" i="3"/>
  <c r="O33" i="2" s="1"/>
  <c r="K18" i="3"/>
  <c r="O36" i="2" s="1"/>
  <c r="F18" i="3"/>
  <c r="O31" i="2" s="1"/>
  <c r="G66" i="3"/>
  <c r="G67" i="3"/>
  <c r="G69" i="3" s="1"/>
  <c r="G63" i="3"/>
  <c r="F54" i="6"/>
  <c r="D64" i="5"/>
  <c r="J68" i="3"/>
  <c r="J70" i="3" s="1"/>
  <c r="J74" i="3" s="1"/>
  <c r="J75" i="3" s="1"/>
  <c r="Q35" i="4" s="1"/>
  <c r="J64" i="5"/>
  <c r="L18" i="3"/>
  <c r="O37" i="2" s="1"/>
  <c r="B18" i="3"/>
  <c r="O27" i="2" s="1"/>
  <c r="K68" i="3"/>
  <c r="K70" i="3" s="1"/>
  <c r="K74" i="3" s="1"/>
  <c r="K75" i="3" s="1"/>
  <c r="Q36" i="4" s="1"/>
  <c r="C64" i="5"/>
  <c r="B61" i="3"/>
  <c r="E68" i="3"/>
  <c r="E70" i="3" s="1"/>
  <c r="E74" i="3" s="1"/>
  <c r="E75" i="3" s="1"/>
  <c r="Q30" i="4" s="1"/>
  <c r="M18" i="3"/>
  <c r="O38" i="2" s="1"/>
  <c r="C18" i="3"/>
  <c r="O28" i="2" s="1"/>
  <c r="R74" i="6"/>
  <c r="F75" i="6"/>
  <c r="U74" i="6"/>
  <c r="D18" i="3"/>
  <c r="O29" i="2" s="1"/>
  <c r="D68" i="3"/>
  <c r="D70" i="3" s="1"/>
  <c r="D74" i="3" s="1"/>
  <c r="D75" i="3" s="1"/>
  <c r="Q29" i="4" s="1"/>
  <c r="J18" i="3"/>
  <c r="O35" i="2" s="1"/>
  <c r="C68" i="3"/>
  <c r="C70" i="3" s="1"/>
  <c r="C74" i="3" s="1"/>
  <c r="C75" i="3" s="1"/>
  <c r="Q28" i="4" s="1"/>
  <c r="J39" i="4" l="1"/>
  <c r="D39" i="4"/>
  <c r="N12" i="5"/>
  <c r="Q40" i="4"/>
  <c r="F40" i="4" s="1"/>
  <c r="O76" i="3"/>
  <c r="Z39" i="4"/>
  <c r="N81" i="3"/>
  <c r="O39" i="4" s="1"/>
  <c r="N82" i="3"/>
  <c r="P39" i="4" s="1"/>
  <c r="F27" i="4"/>
  <c r="Y27" i="4" s="1"/>
  <c r="Q87" i="4"/>
  <c r="F29" i="4"/>
  <c r="Y29" i="4" s="1"/>
  <c r="F34" i="4"/>
  <c r="Y34" i="4" s="1"/>
  <c r="M75" i="3"/>
  <c r="Q38" i="4" s="1"/>
  <c r="F28" i="4"/>
  <c r="Y28" i="4" s="1"/>
  <c r="F30" i="4"/>
  <c r="Y30" i="4" s="1"/>
  <c r="F31" i="4"/>
  <c r="Y31" i="4" s="1"/>
  <c r="F36" i="4"/>
  <c r="Y36" i="4" s="1"/>
  <c r="F35" i="4"/>
  <c r="Y35" i="4" s="1"/>
  <c r="F33" i="4"/>
  <c r="Y33" i="4" s="1"/>
  <c r="M76" i="3"/>
  <c r="L73" i="3"/>
  <c r="L79" i="3" s="1"/>
  <c r="L75" i="3"/>
  <c r="D87" i="2"/>
  <c r="I92" i="6"/>
  <c r="I71" i="6"/>
  <c r="F61" i="6"/>
  <c r="F62" i="6"/>
  <c r="Q102" i="2"/>
  <c r="F73" i="3"/>
  <c r="F79" i="3" s="1"/>
  <c r="F63" i="6"/>
  <c r="H64" i="6"/>
  <c r="G8" i="1"/>
  <c r="B14" i="6"/>
  <c r="G21" i="3"/>
  <c r="G21" i="5" s="1"/>
  <c r="L13" i="6"/>
  <c r="O12" i="6"/>
  <c r="B27" i="6"/>
  <c r="H5" i="6" s="1"/>
  <c r="I49" i="6"/>
  <c r="G49" i="6" s="1"/>
  <c r="G92" i="6" s="1"/>
  <c r="I50" i="6"/>
  <c r="G50" i="6" s="1"/>
  <c r="F60" i="6"/>
  <c r="I52" i="6"/>
  <c r="G52" i="6" s="1"/>
  <c r="I51" i="6"/>
  <c r="G51" i="6" s="1"/>
  <c r="I53" i="6"/>
  <c r="G53" i="6" s="1"/>
  <c r="I54" i="6"/>
  <c r="K73" i="3"/>
  <c r="K79" i="3" s="1"/>
  <c r="L17" i="3"/>
  <c r="P37" i="2" s="1"/>
  <c r="J17" i="3"/>
  <c r="P35" i="2" s="1"/>
  <c r="H17" i="3"/>
  <c r="P33" i="2" s="1"/>
  <c r="D73" i="3"/>
  <c r="D79" i="3" s="1"/>
  <c r="E73" i="3"/>
  <c r="E79" i="3" s="1"/>
  <c r="I73" i="3"/>
  <c r="I79" i="3" s="1"/>
  <c r="H10" i="3"/>
  <c r="I10" i="1"/>
  <c r="F17" i="3"/>
  <c r="P31" i="2" s="1"/>
  <c r="H73" i="3"/>
  <c r="H79" i="3" s="1"/>
  <c r="C73" i="3"/>
  <c r="C79" i="3" s="1"/>
  <c r="C17" i="3"/>
  <c r="P28" i="2" s="1"/>
  <c r="I17" i="3"/>
  <c r="P34" i="2" s="1"/>
  <c r="J73" i="3"/>
  <c r="J79" i="3" s="1"/>
  <c r="E17" i="3"/>
  <c r="P30" i="2" s="1"/>
  <c r="O6" i="6"/>
  <c r="D76" i="3"/>
  <c r="R29" i="4" s="1"/>
  <c r="S29" i="4" s="1"/>
  <c r="B17" i="3"/>
  <c r="P27" i="2" s="1"/>
  <c r="G68" i="3"/>
  <c r="G70" i="3" s="1"/>
  <c r="G74" i="3" s="1"/>
  <c r="G75" i="3" s="1"/>
  <c r="Q32" i="4" s="1"/>
  <c r="F55" i="6"/>
  <c r="H55" i="6"/>
  <c r="O84" i="6"/>
  <c r="G61" i="3"/>
  <c r="F76" i="3"/>
  <c r="R31" i="4" s="1"/>
  <c r="S31" i="4" s="1"/>
  <c r="E76" i="3"/>
  <c r="R30" i="4" s="1"/>
  <c r="S30" i="4" s="1"/>
  <c r="D17" i="3"/>
  <c r="P29" i="2" s="1"/>
  <c r="B76" i="3"/>
  <c r="R27" i="4" s="1"/>
  <c r="B12" i="6"/>
  <c r="G19" i="3"/>
  <c r="G19" i="5" s="1"/>
  <c r="R75" i="6"/>
  <c r="U75" i="6"/>
  <c r="C76" i="3"/>
  <c r="R28" i="4" s="1"/>
  <c r="S28" i="4" s="1"/>
  <c r="G18" i="3"/>
  <c r="O32" i="2" s="1"/>
  <c r="M17" i="3"/>
  <c r="P38" i="2" s="1"/>
  <c r="B73" i="3"/>
  <c r="B79" i="3" s="1"/>
  <c r="K17" i="3"/>
  <c r="P36" i="2" s="1"/>
  <c r="AC39" i="4" l="1"/>
  <c r="AB39" i="4" s="1"/>
  <c r="O78" i="3"/>
  <c r="O80" i="3" s="1"/>
  <c r="R40" i="4"/>
  <c r="S40" i="4" s="1"/>
  <c r="E40" i="4" s="1"/>
  <c r="Y40" i="4"/>
  <c r="O16" i="5"/>
  <c r="M78" i="3"/>
  <c r="M80" i="3" s="1"/>
  <c r="R38" i="4"/>
  <c r="S38" i="4"/>
  <c r="F38" i="4"/>
  <c r="Y38" i="4" s="1"/>
  <c r="F32" i="4"/>
  <c r="Y32" i="4" s="1"/>
  <c r="E30" i="4"/>
  <c r="L76" i="3"/>
  <c r="Q37" i="4"/>
  <c r="S27" i="4"/>
  <c r="E31" i="4"/>
  <c r="E28" i="4"/>
  <c r="E29" i="4"/>
  <c r="E27" i="4"/>
  <c r="F87" i="4"/>
  <c r="M81" i="3"/>
  <c r="O38" i="4" s="1"/>
  <c r="M82" i="3"/>
  <c r="P38" i="4" s="1"/>
  <c r="O87" i="2"/>
  <c r="J149" i="2" s="1"/>
  <c r="G54" i="6"/>
  <c r="I70" i="6"/>
  <c r="I69" i="6" s="1"/>
  <c r="I68" i="6" s="1"/>
  <c r="I67" i="6" s="1"/>
  <c r="I66" i="6" s="1"/>
  <c r="G71" i="6"/>
  <c r="I72" i="6"/>
  <c r="H65" i="6"/>
  <c r="F64" i="6"/>
  <c r="G8" i="3"/>
  <c r="G8" i="5" s="1"/>
  <c r="B1" i="6"/>
  <c r="H21" i="3"/>
  <c r="H21" i="5" s="1"/>
  <c r="H8" i="1"/>
  <c r="H8" i="3" s="1"/>
  <c r="H8" i="5" s="1"/>
  <c r="L14" i="6"/>
  <c r="O13" i="6"/>
  <c r="H6" i="6"/>
  <c r="H84" i="6"/>
  <c r="H4" i="6"/>
  <c r="O8" i="6"/>
  <c r="B28" i="6"/>
  <c r="F3" i="6"/>
  <c r="U3" i="6" s="1"/>
  <c r="I55" i="6"/>
  <c r="G55" i="6" s="1"/>
  <c r="J10" i="1"/>
  <c r="I10" i="3"/>
  <c r="H10" i="5"/>
  <c r="H61" i="3"/>
  <c r="H76" i="3" s="1"/>
  <c r="F56" i="6"/>
  <c r="G76" i="3"/>
  <c r="R32" i="4" s="1"/>
  <c r="S32" i="4" s="1"/>
  <c r="C78" i="3"/>
  <c r="C80" i="3" s="1"/>
  <c r="H19" i="3"/>
  <c r="H19" i="5" s="1"/>
  <c r="N13" i="5"/>
  <c r="H56" i="6"/>
  <c r="D78" i="3"/>
  <c r="D80" i="3" s="1"/>
  <c r="E78" i="3"/>
  <c r="E80" i="3" s="1"/>
  <c r="G17" i="3"/>
  <c r="P32" i="2" s="1"/>
  <c r="F78" i="3"/>
  <c r="F80" i="3" s="1"/>
  <c r="O7" i="6"/>
  <c r="B78" i="3"/>
  <c r="B80" i="3" s="1"/>
  <c r="G73" i="3"/>
  <c r="G79" i="3" s="1"/>
  <c r="G39" i="4" l="1"/>
  <c r="AA39" i="4"/>
  <c r="O12" i="5"/>
  <c r="J40" i="4"/>
  <c r="D40" i="4"/>
  <c r="O81" i="3"/>
  <c r="O40" i="4" s="1"/>
  <c r="O82" i="3"/>
  <c r="P40" i="4" s="1"/>
  <c r="Z40" i="4"/>
  <c r="M39" i="4"/>
  <c r="K39" i="4" s="1"/>
  <c r="L39" i="4" s="1"/>
  <c r="D29" i="4"/>
  <c r="Z29" i="4"/>
  <c r="D30" i="4"/>
  <c r="H78" i="3"/>
  <c r="H80" i="3" s="1"/>
  <c r="R33" i="4"/>
  <c r="D28" i="4"/>
  <c r="Z28" i="4"/>
  <c r="E32" i="4"/>
  <c r="D31" i="4"/>
  <c r="F37" i="4"/>
  <c r="Y37" i="4" s="1"/>
  <c r="D27" i="4"/>
  <c r="L78" i="3"/>
  <c r="L80" i="3" s="1"/>
  <c r="R37" i="4"/>
  <c r="S37" i="4" s="1"/>
  <c r="E38" i="4"/>
  <c r="P87" i="2"/>
  <c r="H149" i="2" s="1"/>
  <c r="I73" i="6"/>
  <c r="G72" i="6"/>
  <c r="M72" i="6" s="1"/>
  <c r="F65" i="6"/>
  <c r="H66" i="6"/>
  <c r="G66" i="6" s="1"/>
  <c r="I21" i="3"/>
  <c r="I21" i="5" s="1"/>
  <c r="I8" i="1"/>
  <c r="I8" i="3" s="1"/>
  <c r="I8" i="5" s="1"/>
  <c r="L15" i="6"/>
  <c r="O14" i="6"/>
  <c r="F6" i="6"/>
  <c r="U6" i="6" s="1"/>
  <c r="H7" i="6"/>
  <c r="F18" i="6"/>
  <c r="U18" i="6" s="1"/>
  <c r="F5" i="6"/>
  <c r="U5" i="6" s="1"/>
  <c r="F4" i="6"/>
  <c r="U4" i="6" s="1"/>
  <c r="F19" i="6"/>
  <c r="R19" i="6" s="1"/>
  <c r="F20" i="6"/>
  <c r="R20" i="6" s="1"/>
  <c r="F21" i="6"/>
  <c r="R21" i="6" s="1"/>
  <c r="F22" i="6"/>
  <c r="R22" i="6" s="1"/>
  <c r="F23" i="6"/>
  <c r="R23" i="6" s="1"/>
  <c r="O10" i="6"/>
  <c r="O9" i="6"/>
  <c r="AA5" i="6" s="1"/>
  <c r="AA6" i="6" s="1"/>
  <c r="R3" i="6"/>
  <c r="I3" i="6"/>
  <c r="I4" i="6" s="1"/>
  <c r="I56" i="6"/>
  <c r="G56" i="6" s="1"/>
  <c r="I10" i="5"/>
  <c r="I61" i="3"/>
  <c r="I76" i="3" s="1"/>
  <c r="R34" i="4" s="1"/>
  <c r="S34" i="4" s="1"/>
  <c r="E34" i="4" s="1"/>
  <c r="J10" i="3"/>
  <c r="K10" i="1"/>
  <c r="H16" i="5"/>
  <c r="E82" i="3"/>
  <c r="P30" i="4" s="1"/>
  <c r="E81" i="3"/>
  <c r="O30" i="4" s="1"/>
  <c r="I65" i="6"/>
  <c r="D16" i="5"/>
  <c r="G78" i="3"/>
  <c r="G80" i="3" s="1"/>
  <c r="C16" i="5"/>
  <c r="B16" i="5"/>
  <c r="D82" i="3"/>
  <c r="P29" i="4" s="1"/>
  <c r="D81" i="3"/>
  <c r="O29" i="4" s="1"/>
  <c r="M16" i="5"/>
  <c r="I19" i="3"/>
  <c r="I19" i="5" s="1"/>
  <c r="H81" i="3"/>
  <c r="O33" i="4" s="1"/>
  <c r="H82" i="3"/>
  <c r="P33" i="4" s="1"/>
  <c r="K16" i="5"/>
  <c r="F82" i="3"/>
  <c r="P31" i="4" s="1"/>
  <c r="F81" i="3"/>
  <c r="O31" i="4" s="1"/>
  <c r="L16" i="5"/>
  <c r="I16" i="5"/>
  <c r="F16" i="5"/>
  <c r="C82" i="3"/>
  <c r="P28" i="4" s="1"/>
  <c r="C81" i="3"/>
  <c r="O28" i="4" s="1"/>
  <c r="E16" i="5"/>
  <c r="J16" i="5"/>
  <c r="B81" i="3"/>
  <c r="O27" i="4" s="1"/>
  <c r="B82" i="3"/>
  <c r="P27" i="4" s="1"/>
  <c r="P87" i="4" s="1"/>
  <c r="AC29" i="4" l="1"/>
  <c r="AC40" i="4"/>
  <c r="AB40" i="4" s="1"/>
  <c r="AC28" i="4"/>
  <c r="G28" i="4" s="1"/>
  <c r="O87" i="4"/>
  <c r="S33" i="4"/>
  <c r="R87" i="4"/>
  <c r="J29" i="4"/>
  <c r="AA29" i="4" s="1"/>
  <c r="J28" i="4"/>
  <c r="Z27" i="4"/>
  <c r="Y87" i="4"/>
  <c r="V101" i="4" s="1"/>
  <c r="Z31" i="4"/>
  <c r="J31" i="4" s="1"/>
  <c r="G29" i="4"/>
  <c r="AB29" i="4"/>
  <c r="D34" i="4"/>
  <c r="Z34" i="4"/>
  <c r="D38" i="4"/>
  <c r="Z38" i="4"/>
  <c r="J38" i="4"/>
  <c r="E37" i="4"/>
  <c r="D32" i="4"/>
  <c r="L82" i="3"/>
  <c r="P37" i="4" s="1"/>
  <c r="L81" i="3"/>
  <c r="O37" i="4" s="1"/>
  <c r="Z30" i="4"/>
  <c r="J30" i="4" s="1"/>
  <c r="F84" i="6"/>
  <c r="I84" i="6" s="1"/>
  <c r="I74" i="6"/>
  <c r="G73" i="6"/>
  <c r="R5" i="6"/>
  <c r="F27" i="6"/>
  <c r="F28" i="6" s="1"/>
  <c r="F29" i="6" s="1"/>
  <c r="F30" i="6" s="1"/>
  <c r="F31" i="6" s="1"/>
  <c r="F32" i="6" s="1"/>
  <c r="F33" i="6" s="1"/>
  <c r="F34" i="6" s="1"/>
  <c r="F35" i="6" s="1"/>
  <c r="F36" i="6" s="1"/>
  <c r="F37" i="6" s="1"/>
  <c r="F38" i="6" s="1"/>
  <c r="F39" i="6" s="1"/>
  <c r="F40" i="6" s="1"/>
  <c r="F41" i="6" s="1"/>
  <c r="F42" i="6" s="1"/>
  <c r="F43" i="6" s="1"/>
  <c r="F44" i="6" s="1"/>
  <c r="F45" i="6" s="1"/>
  <c r="F46" i="6" s="1"/>
  <c r="F47" i="6" s="1"/>
  <c r="F48" i="6" s="1"/>
  <c r="J72" i="6"/>
  <c r="K72" i="6" s="1"/>
  <c r="P72" i="6"/>
  <c r="W72" i="6" s="1"/>
  <c r="S72" i="6"/>
  <c r="V72" i="6" s="1"/>
  <c r="N72" i="6"/>
  <c r="R6" i="6"/>
  <c r="R4" i="6"/>
  <c r="U21" i="6"/>
  <c r="H67" i="6"/>
  <c r="F66" i="6"/>
  <c r="J21" i="3"/>
  <c r="J21" i="5" s="1"/>
  <c r="J8" i="1"/>
  <c r="J8" i="3" s="1"/>
  <c r="J8" i="5" s="1"/>
  <c r="R18" i="6"/>
  <c r="U23" i="6"/>
  <c r="G3" i="6"/>
  <c r="M3" i="6" s="1"/>
  <c r="P3" i="6" s="1"/>
  <c r="W3" i="6" s="1"/>
  <c r="L16" i="6"/>
  <c r="O15" i="6"/>
  <c r="U19" i="6"/>
  <c r="U22" i="6"/>
  <c r="U20" i="6"/>
  <c r="F7" i="6"/>
  <c r="H8" i="6"/>
  <c r="I27" i="6"/>
  <c r="R84" i="6"/>
  <c r="U84" i="6"/>
  <c r="G84" i="6"/>
  <c r="F85" i="6"/>
  <c r="I78" i="3"/>
  <c r="I80" i="3" s="1"/>
  <c r="K10" i="3"/>
  <c r="L10" i="1"/>
  <c r="J10" i="5"/>
  <c r="J61" i="3"/>
  <c r="J76" i="3" s="1"/>
  <c r="R35" i="4" s="1"/>
  <c r="S35" i="4" s="1"/>
  <c r="E35" i="4" s="1"/>
  <c r="I5" i="6"/>
  <c r="G4" i="6"/>
  <c r="M4" i="6" s="1"/>
  <c r="B66" i="5"/>
  <c r="B63" i="5"/>
  <c r="B67" i="5"/>
  <c r="B69" i="5" s="1"/>
  <c r="E12" i="5"/>
  <c r="E13" i="5" s="1"/>
  <c r="C12" i="5"/>
  <c r="C13" i="5" s="1"/>
  <c r="E67" i="5"/>
  <c r="E69" i="5" s="1"/>
  <c r="E66" i="5"/>
  <c r="E63" i="5"/>
  <c r="C63" i="5"/>
  <c r="C67" i="5"/>
  <c r="C69" i="5" s="1"/>
  <c r="C66" i="5"/>
  <c r="I66" i="5"/>
  <c r="I63" i="5"/>
  <c r="I67" i="5"/>
  <c r="I69" i="5" s="1"/>
  <c r="J66" i="5"/>
  <c r="J63" i="5"/>
  <c r="J67" i="5"/>
  <c r="J69" i="5" s="1"/>
  <c r="F12" i="5"/>
  <c r="F13" i="5" s="1"/>
  <c r="L67" i="5"/>
  <c r="L69" i="5" s="1"/>
  <c r="L63" i="5"/>
  <c r="L66" i="5"/>
  <c r="D12" i="5"/>
  <c r="D13" i="5" s="1"/>
  <c r="H66" i="5"/>
  <c r="H63" i="5"/>
  <c r="H67" i="5"/>
  <c r="H69" i="5" s="1"/>
  <c r="K63" i="5"/>
  <c r="K67" i="5"/>
  <c r="K69" i="5" s="1"/>
  <c r="K66" i="5"/>
  <c r="G16" i="5"/>
  <c r="D67" i="5"/>
  <c r="D69" i="5" s="1"/>
  <c r="D63" i="5"/>
  <c r="D66" i="5"/>
  <c r="I64" i="6"/>
  <c r="G65" i="6"/>
  <c r="G81" i="3"/>
  <c r="O32" i="4" s="1"/>
  <c r="G82" i="3"/>
  <c r="P32" i="4" s="1"/>
  <c r="F67" i="5"/>
  <c r="F69" i="5" s="1"/>
  <c r="F66" i="5"/>
  <c r="F63" i="5"/>
  <c r="J19" i="3"/>
  <c r="J19" i="5" s="1"/>
  <c r="AC34" i="4" l="1"/>
  <c r="G34" i="4" s="1"/>
  <c r="AA28" i="4"/>
  <c r="AB28" i="4"/>
  <c r="AA40" i="4"/>
  <c r="G40" i="4"/>
  <c r="M29" i="4"/>
  <c r="K29" i="4" s="1"/>
  <c r="L29" i="4" s="1"/>
  <c r="E33" i="4"/>
  <c r="S87" i="4"/>
  <c r="M40" i="4"/>
  <c r="K40" i="4" s="1"/>
  <c r="L40" i="4" s="1"/>
  <c r="AC31" i="4"/>
  <c r="AB31" i="4" s="1"/>
  <c r="AC38" i="4"/>
  <c r="AB38" i="4" s="1"/>
  <c r="D35" i="4"/>
  <c r="Z35" i="4"/>
  <c r="J35" i="4" s="1"/>
  <c r="Z33" i="4"/>
  <c r="Z87" i="4" s="1"/>
  <c r="W101" i="4"/>
  <c r="V102" i="4"/>
  <c r="W102" i="4" s="1"/>
  <c r="Z32" i="4"/>
  <c r="J32" i="4" s="1"/>
  <c r="AC30" i="4"/>
  <c r="AA30" i="4" s="1"/>
  <c r="D37" i="4"/>
  <c r="Z37" i="4"/>
  <c r="J37" i="4"/>
  <c r="J34" i="4"/>
  <c r="AC27" i="4"/>
  <c r="J27" i="4"/>
  <c r="U27" i="6"/>
  <c r="R27" i="6"/>
  <c r="X72" i="6"/>
  <c r="J3" i="6"/>
  <c r="K3" i="6" s="1"/>
  <c r="T72" i="6"/>
  <c r="Q72" i="6"/>
  <c r="M73" i="6"/>
  <c r="J73" i="6" s="1"/>
  <c r="K73" i="6" s="1"/>
  <c r="I75" i="6"/>
  <c r="G75" i="6" s="1"/>
  <c r="G74" i="6"/>
  <c r="S3" i="6"/>
  <c r="V3" i="6" s="1"/>
  <c r="X3" i="6" s="1"/>
  <c r="Y3" i="6" s="1"/>
  <c r="N3" i="6"/>
  <c r="T3" i="6" s="1"/>
  <c r="B12" i="5"/>
  <c r="B13" i="5" s="1"/>
  <c r="B18" i="5" s="1"/>
  <c r="F67" i="6"/>
  <c r="H68" i="6"/>
  <c r="G67" i="6"/>
  <c r="K21" i="3"/>
  <c r="K21" i="5" s="1"/>
  <c r="K8" i="1"/>
  <c r="K8" i="3" s="1"/>
  <c r="K8" i="5" s="1"/>
  <c r="L17" i="6"/>
  <c r="O17" i="6" s="1"/>
  <c r="O16" i="6"/>
  <c r="G27" i="6"/>
  <c r="M27" i="6" s="1"/>
  <c r="R7" i="6"/>
  <c r="U7" i="6"/>
  <c r="F8" i="6"/>
  <c r="H9" i="6"/>
  <c r="I28" i="6"/>
  <c r="C61" i="5"/>
  <c r="I12" i="5"/>
  <c r="I13" i="5" s="1"/>
  <c r="I18" i="5" s="1"/>
  <c r="P4" i="6"/>
  <c r="W4" i="6" s="1"/>
  <c r="N4" i="6"/>
  <c r="S4" i="6"/>
  <c r="V4" i="6" s="1"/>
  <c r="I81" i="3"/>
  <c r="O34" i="4" s="1"/>
  <c r="I82" i="3"/>
  <c r="P34" i="4" s="1"/>
  <c r="J78" i="3"/>
  <c r="J80" i="3" s="1"/>
  <c r="F86" i="6"/>
  <c r="H85" i="6"/>
  <c r="I85" i="6" s="1"/>
  <c r="J4" i="6"/>
  <c r="K4" i="6" s="1"/>
  <c r="I6" i="6"/>
  <c r="G5" i="6"/>
  <c r="M10" i="1"/>
  <c r="L10" i="3"/>
  <c r="L28" i="6"/>
  <c r="R28" i="6" s="1"/>
  <c r="L85" i="6"/>
  <c r="R85" i="6" s="1"/>
  <c r="K10" i="5"/>
  <c r="K61" i="3"/>
  <c r="K76" i="3" s="1"/>
  <c r="R36" i="4" s="1"/>
  <c r="S36" i="4" s="1"/>
  <c r="E36" i="4" s="1"/>
  <c r="F61" i="5"/>
  <c r="D61" i="5"/>
  <c r="E61" i="5"/>
  <c r="I63" i="6"/>
  <c r="G64" i="6"/>
  <c r="K68" i="5"/>
  <c r="K70" i="5" s="1"/>
  <c r="K74" i="5" s="1"/>
  <c r="K75" i="5" s="1"/>
  <c r="F68" i="5"/>
  <c r="F70" i="5" s="1"/>
  <c r="F74" i="5" s="1"/>
  <c r="F75" i="5" s="1"/>
  <c r="D68" i="5"/>
  <c r="D70" i="5" s="1"/>
  <c r="D74" i="5" s="1"/>
  <c r="D75" i="5" s="1"/>
  <c r="L68" i="5"/>
  <c r="L70" i="5" s="1"/>
  <c r="E68" i="5"/>
  <c r="E70" i="5" s="1"/>
  <c r="E74" i="5" s="1"/>
  <c r="E75" i="5" s="1"/>
  <c r="J68" i="5"/>
  <c r="J70" i="5" s="1"/>
  <c r="J74" i="5" s="1"/>
  <c r="J75" i="5" s="1"/>
  <c r="G67" i="5"/>
  <c r="G69" i="5" s="1"/>
  <c r="G66" i="5"/>
  <c r="G63" i="5"/>
  <c r="C68" i="5"/>
  <c r="C70" i="5" s="1"/>
  <c r="C74" i="5" s="1"/>
  <c r="C75" i="5" s="1"/>
  <c r="C18" i="5"/>
  <c r="E18" i="5"/>
  <c r="K19" i="3"/>
  <c r="K19" i="5" s="1"/>
  <c r="D18" i="5"/>
  <c r="I68" i="5"/>
  <c r="I70" i="5" s="1"/>
  <c r="I74" i="5" s="1"/>
  <c r="I75" i="5" s="1"/>
  <c r="H68" i="5"/>
  <c r="H70" i="5" s="1"/>
  <c r="H74" i="5" s="1"/>
  <c r="H75" i="5" s="1"/>
  <c r="F18" i="5"/>
  <c r="B68" i="5"/>
  <c r="B70" i="5" s="1"/>
  <c r="B74" i="5" s="1"/>
  <c r="B75" i="5" s="1"/>
  <c r="M28" i="4" l="1"/>
  <c r="K28" i="4" s="1"/>
  <c r="L28" i="4" s="1"/>
  <c r="AA34" i="4"/>
  <c r="AB34" i="4"/>
  <c r="G38" i="4"/>
  <c r="AA38" i="4"/>
  <c r="AA31" i="4"/>
  <c r="M31" i="4" s="1"/>
  <c r="K31" i="4" s="1"/>
  <c r="L31" i="4" s="1"/>
  <c r="J33" i="4"/>
  <c r="M38" i="4"/>
  <c r="K38" i="4" s="1"/>
  <c r="L38" i="4" s="1"/>
  <c r="G31" i="4"/>
  <c r="E87" i="4"/>
  <c r="P101" i="4" s="1"/>
  <c r="D33" i="4"/>
  <c r="D87" i="4" s="1"/>
  <c r="Q100" i="4" s="1"/>
  <c r="H12" i="5"/>
  <c r="AC32" i="4"/>
  <c r="G32" i="4" s="1"/>
  <c r="AC35" i="4"/>
  <c r="AA35" i="4" s="1"/>
  <c r="D36" i="4"/>
  <c r="Z36" i="4"/>
  <c r="AB30" i="4"/>
  <c r="G30" i="4"/>
  <c r="AB27" i="4"/>
  <c r="AA27" i="4"/>
  <c r="G27" i="4"/>
  <c r="AC37" i="4"/>
  <c r="G28" i="6"/>
  <c r="M10" i="3"/>
  <c r="N10" i="1"/>
  <c r="M75" i="6"/>
  <c r="J75" i="6" s="1"/>
  <c r="K75" i="6" s="1"/>
  <c r="E3" i="6"/>
  <c r="Q3" i="6"/>
  <c r="P73" i="6"/>
  <c r="W73" i="6" s="1"/>
  <c r="S73" i="6"/>
  <c r="V73" i="6" s="1"/>
  <c r="N73" i="6"/>
  <c r="M74" i="6"/>
  <c r="J74" i="6" s="1"/>
  <c r="K74" i="6" s="1"/>
  <c r="Y72" i="6"/>
  <c r="E72" i="6"/>
  <c r="G12" i="5"/>
  <c r="G13" i="5" s="1"/>
  <c r="G18" i="5" s="1"/>
  <c r="B61" i="5"/>
  <c r="B76" i="5" s="1"/>
  <c r="B78" i="5" s="1"/>
  <c r="G68" i="6"/>
  <c r="F68" i="6"/>
  <c r="H69" i="6"/>
  <c r="L21" i="3"/>
  <c r="L21" i="5" s="1"/>
  <c r="L8" i="1"/>
  <c r="L8" i="3" s="1"/>
  <c r="L8" i="5" s="1"/>
  <c r="C76" i="5"/>
  <c r="C78" i="5" s="1"/>
  <c r="U8" i="6"/>
  <c r="R8" i="6"/>
  <c r="F9" i="6"/>
  <c r="H10" i="6"/>
  <c r="I29" i="6"/>
  <c r="G29" i="6" s="1"/>
  <c r="D76" i="5"/>
  <c r="D78" i="5" s="1"/>
  <c r="U28" i="6"/>
  <c r="I61" i="5"/>
  <c r="I76" i="5" s="1"/>
  <c r="I78" i="5" s="1"/>
  <c r="E76" i="5"/>
  <c r="E78" i="5" s="1"/>
  <c r="N27" i="6"/>
  <c r="P27" i="6"/>
  <c r="W27" i="6" s="1"/>
  <c r="S27" i="6"/>
  <c r="V27" i="6" s="1"/>
  <c r="J27" i="6"/>
  <c r="K78" i="3"/>
  <c r="K80" i="3" s="1"/>
  <c r="M5" i="6"/>
  <c r="J5" i="6" s="1"/>
  <c r="J81" i="3"/>
  <c r="O35" i="4" s="1"/>
  <c r="J82" i="3"/>
  <c r="P35" i="4" s="1"/>
  <c r="I7" i="6"/>
  <c r="G6" i="6"/>
  <c r="L29" i="6"/>
  <c r="U29" i="6" s="1"/>
  <c r="G85" i="6"/>
  <c r="H86" i="6"/>
  <c r="I86" i="6" s="1"/>
  <c r="F76" i="5"/>
  <c r="F78" i="5" s="1"/>
  <c r="O28" i="6"/>
  <c r="L10" i="5"/>
  <c r="F87" i="6"/>
  <c r="O85" i="6"/>
  <c r="L86" i="6"/>
  <c r="M10" i="5"/>
  <c r="U85" i="6"/>
  <c r="Q4" i="6"/>
  <c r="T4" i="6"/>
  <c r="J12" i="5"/>
  <c r="X4" i="6"/>
  <c r="J73" i="5"/>
  <c r="J79" i="5" s="1"/>
  <c r="F17" i="5"/>
  <c r="D73" i="5"/>
  <c r="D79" i="5" s="1"/>
  <c r="H73" i="5"/>
  <c r="H79" i="5" s="1"/>
  <c r="C17" i="5"/>
  <c r="I17" i="5"/>
  <c r="C73" i="5"/>
  <c r="C79" i="5" s="1"/>
  <c r="G68" i="5"/>
  <c r="G70" i="5" s="1"/>
  <c r="G74" i="5" s="1"/>
  <c r="G75" i="5" s="1"/>
  <c r="B17" i="5"/>
  <c r="E73" i="5"/>
  <c r="E79" i="5" s="1"/>
  <c r="K73" i="5"/>
  <c r="K79" i="5" s="1"/>
  <c r="B73" i="5"/>
  <c r="B79" i="5" s="1"/>
  <c r="F73" i="5"/>
  <c r="F79" i="5" s="1"/>
  <c r="I62" i="6"/>
  <c r="G63" i="6"/>
  <c r="I73" i="5"/>
  <c r="I79" i="5" s="1"/>
  <c r="D17" i="5"/>
  <c r="L19" i="3"/>
  <c r="L19" i="5" s="1"/>
  <c r="M19" i="3"/>
  <c r="M19" i="5" s="1"/>
  <c r="E17" i="5"/>
  <c r="M34" i="4" l="1"/>
  <c r="K34" i="4" s="1"/>
  <c r="L34" i="4" s="1"/>
  <c r="AC33" i="4"/>
  <c r="AC87" i="4" s="1"/>
  <c r="M27" i="4"/>
  <c r="AC36" i="4"/>
  <c r="G36" i="4" s="1"/>
  <c r="H13" i="5"/>
  <c r="H61" i="5"/>
  <c r="H76" i="5" s="1"/>
  <c r="H78" i="5" s="1"/>
  <c r="H80" i="5" s="1"/>
  <c r="H82" i="5" s="1"/>
  <c r="M30" i="4"/>
  <c r="K30" i="4" s="1"/>
  <c r="L30" i="4" s="1"/>
  <c r="P102" i="4"/>
  <c r="R102" i="4" s="1"/>
  <c r="Q102" i="4" s="1"/>
  <c r="Q101" i="4"/>
  <c r="AA32" i="4"/>
  <c r="AB32" i="4"/>
  <c r="G35" i="4"/>
  <c r="AB35" i="4"/>
  <c r="M35" i="4" s="1"/>
  <c r="K35" i="4" s="1"/>
  <c r="L35" i="4" s="1"/>
  <c r="J36" i="4"/>
  <c r="AA37" i="4"/>
  <c r="AB37" i="4"/>
  <c r="G37" i="4"/>
  <c r="M28" i="6"/>
  <c r="P28" i="6" s="1"/>
  <c r="W28" i="6" s="1"/>
  <c r="J149" i="4"/>
  <c r="G61" i="5"/>
  <c r="G76" i="5" s="1"/>
  <c r="G78" i="5" s="1"/>
  <c r="K27" i="6"/>
  <c r="Z27" i="6"/>
  <c r="Z28" i="6" s="1"/>
  <c r="Z29" i="6" s="1"/>
  <c r="O10" i="1"/>
  <c r="O10" i="3" s="1"/>
  <c r="O10" i="5" s="1"/>
  <c r="N10" i="3"/>
  <c r="N10" i="5" s="1"/>
  <c r="X73" i="6"/>
  <c r="Y73" i="6" s="1"/>
  <c r="T73" i="6"/>
  <c r="Q73" i="6"/>
  <c r="N74" i="6"/>
  <c r="S74" i="6"/>
  <c r="V74" i="6" s="1"/>
  <c r="P74" i="6"/>
  <c r="W74" i="6" s="1"/>
  <c r="P75" i="6"/>
  <c r="W75" i="6" s="1"/>
  <c r="S75" i="6"/>
  <c r="V75" i="6" s="1"/>
  <c r="N75" i="6"/>
  <c r="F69" i="6"/>
  <c r="H70" i="6"/>
  <c r="G69" i="6"/>
  <c r="C80" i="5"/>
  <c r="C81" i="5" s="1"/>
  <c r="D80" i="5"/>
  <c r="D82" i="5" s="1"/>
  <c r="H11" i="6"/>
  <c r="F10" i="6"/>
  <c r="R9" i="6"/>
  <c r="U9" i="6"/>
  <c r="AB4" i="6" s="1"/>
  <c r="AB5" i="6" s="1"/>
  <c r="I30" i="6"/>
  <c r="G30" i="6" s="1"/>
  <c r="F80" i="5"/>
  <c r="F81" i="5" s="1"/>
  <c r="E80" i="5"/>
  <c r="E82" i="5" s="1"/>
  <c r="M29" i="6"/>
  <c r="P29" i="6" s="1"/>
  <c r="I80" i="5"/>
  <c r="I81" i="5" s="1"/>
  <c r="X27" i="6"/>
  <c r="R29" i="6"/>
  <c r="Q27" i="6"/>
  <c r="T27" i="6"/>
  <c r="I8" i="6"/>
  <c r="G7" i="6"/>
  <c r="M7" i="6" s="1"/>
  <c r="J13" i="5"/>
  <c r="J61" i="5"/>
  <c r="J76" i="5" s="1"/>
  <c r="J78" i="5" s="1"/>
  <c r="J80" i="5" s="1"/>
  <c r="J81" i="5" s="1"/>
  <c r="O86" i="6"/>
  <c r="L87" i="6"/>
  <c r="L30" i="6"/>
  <c r="U30" i="6" s="1"/>
  <c r="U86" i="6"/>
  <c r="K5" i="6"/>
  <c r="J84" i="6"/>
  <c r="R86" i="6"/>
  <c r="O29" i="6"/>
  <c r="M84" i="6"/>
  <c r="P5" i="6"/>
  <c r="W5" i="6" s="1"/>
  <c r="S5" i="6"/>
  <c r="V5" i="6" s="1"/>
  <c r="N5" i="6"/>
  <c r="F88" i="6"/>
  <c r="K12" i="5"/>
  <c r="Y4" i="6"/>
  <c r="E4" i="6"/>
  <c r="G86" i="6"/>
  <c r="H87" i="6"/>
  <c r="I87" i="6" s="1"/>
  <c r="M6" i="6"/>
  <c r="J6" i="6" s="1"/>
  <c r="K6" i="6" s="1"/>
  <c r="K81" i="3"/>
  <c r="O36" i="4" s="1"/>
  <c r="K82" i="3"/>
  <c r="P36" i="4" s="1"/>
  <c r="G73" i="5"/>
  <c r="G79" i="5" s="1"/>
  <c r="B80" i="5"/>
  <c r="B81" i="5" s="1"/>
  <c r="I61" i="6"/>
  <c r="G62" i="6"/>
  <c r="G17" i="5"/>
  <c r="G33" i="4" l="1"/>
  <c r="AB33" i="4"/>
  <c r="AB87" i="4" s="1"/>
  <c r="AA33" i="4"/>
  <c r="AA87" i="4" s="1"/>
  <c r="AA36" i="4"/>
  <c r="M32" i="4"/>
  <c r="K32" i="4" s="1"/>
  <c r="L32" i="4" s="1"/>
  <c r="AB36" i="4"/>
  <c r="AE32" i="4"/>
  <c r="M37" i="4"/>
  <c r="K37" i="4" s="1"/>
  <c r="L37" i="4" s="1"/>
  <c r="M33" i="4"/>
  <c r="K33" i="4" s="1"/>
  <c r="L33" i="4" s="1"/>
  <c r="H18" i="5"/>
  <c r="H17" i="5" s="1"/>
  <c r="K27" i="4"/>
  <c r="N28" i="6"/>
  <c r="T28" i="6" s="1"/>
  <c r="J28" i="6"/>
  <c r="K28" i="6" s="1"/>
  <c r="S28" i="6"/>
  <c r="V28" i="6" s="1"/>
  <c r="X28" i="6" s="1"/>
  <c r="E28" i="6" s="1"/>
  <c r="X100" i="2"/>
  <c r="W100" i="2" s="1"/>
  <c r="Q100" i="2" s="1"/>
  <c r="E73" i="6"/>
  <c r="H149" i="4"/>
  <c r="Z30" i="6"/>
  <c r="X74" i="6"/>
  <c r="Y74" i="6" s="1"/>
  <c r="Q75" i="6"/>
  <c r="T75" i="6"/>
  <c r="X75" i="6"/>
  <c r="Q74" i="6"/>
  <c r="T74" i="6"/>
  <c r="C82" i="5"/>
  <c r="F82" i="5"/>
  <c r="F70" i="6"/>
  <c r="G70" i="6"/>
  <c r="D81" i="5"/>
  <c r="H81" i="5"/>
  <c r="E81" i="5"/>
  <c r="R10" i="6"/>
  <c r="U10" i="6"/>
  <c r="H12" i="6"/>
  <c r="F11" i="6"/>
  <c r="I31" i="6"/>
  <c r="G31" i="6" s="1"/>
  <c r="J29" i="6"/>
  <c r="K29" i="6" s="1"/>
  <c r="N29" i="6"/>
  <c r="Q29" i="6" s="1"/>
  <c r="R30" i="6"/>
  <c r="I82" i="5"/>
  <c r="S29" i="6"/>
  <c r="V29" i="6" s="1"/>
  <c r="G80" i="5"/>
  <c r="G82" i="5" s="1"/>
  <c r="J82" i="5"/>
  <c r="E27" i="6"/>
  <c r="Y27" i="6"/>
  <c r="H88" i="6"/>
  <c r="W29" i="6"/>
  <c r="G87" i="6"/>
  <c r="U87" i="6"/>
  <c r="L88" i="6"/>
  <c r="O87" i="6"/>
  <c r="Q5" i="6"/>
  <c r="T5" i="6"/>
  <c r="K84" i="6"/>
  <c r="J85" i="6"/>
  <c r="K13" i="5"/>
  <c r="K61" i="5"/>
  <c r="K76" i="5" s="1"/>
  <c r="K78" i="5" s="1"/>
  <c r="K80" i="5" s="1"/>
  <c r="X5" i="6"/>
  <c r="J18" i="5"/>
  <c r="P84" i="6"/>
  <c r="W84" i="6" s="1"/>
  <c r="S84" i="6"/>
  <c r="V84" i="6" s="1"/>
  <c r="N84" i="6"/>
  <c r="M30" i="6"/>
  <c r="J30" i="6" s="1"/>
  <c r="K30" i="6" s="1"/>
  <c r="J7" i="6"/>
  <c r="K7" i="6" s="1"/>
  <c r="N7" i="6"/>
  <c r="P7" i="6"/>
  <c r="W7" i="6" s="1"/>
  <c r="S7" i="6"/>
  <c r="V7" i="6" s="1"/>
  <c r="P6" i="6"/>
  <c r="S6" i="6"/>
  <c r="N6" i="6"/>
  <c r="R87" i="6"/>
  <c r="O30" i="6"/>
  <c r="L31" i="6"/>
  <c r="I9" i="6"/>
  <c r="G8" i="6"/>
  <c r="M8" i="6" s="1"/>
  <c r="F89" i="6"/>
  <c r="L12" i="5"/>
  <c r="M12" i="5"/>
  <c r="M13" i="5" s="1"/>
  <c r="B82" i="5"/>
  <c r="I60" i="6"/>
  <c r="G60" i="6" s="1"/>
  <c r="G61" i="6"/>
  <c r="M36" i="4" l="1"/>
  <c r="K36" i="4" s="1"/>
  <c r="L36" i="4" s="1"/>
  <c r="M87" i="4"/>
  <c r="S112" i="4" s="1"/>
  <c r="S113" i="4" s="1"/>
  <c r="L27" i="4"/>
  <c r="K87" i="4"/>
  <c r="S101" i="4" s="1"/>
  <c r="S102" i="4" s="1"/>
  <c r="Y28" i="6"/>
  <c r="Q28" i="6"/>
  <c r="X101" i="2"/>
  <c r="Z31" i="6"/>
  <c r="E74" i="6"/>
  <c r="X87" i="2"/>
  <c r="X102" i="2"/>
  <c r="Y75" i="6"/>
  <c r="E75" i="6"/>
  <c r="I88" i="6"/>
  <c r="G88" i="6" s="1"/>
  <c r="G81" i="5"/>
  <c r="H13" i="6"/>
  <c r="F12" i="6"/>
  <c r="U11" i="6"/>
  <c r="R11" i="6"/>
  <c r="T29" i="6"/>
  <c r="I32" i="6"/>
  <c r="G32" i="6" s="1"/>
  <c r="X29" i="6"/>
  <c r="X84" i="6"/>
  <c r="Y84" i="6" s="1"/>
  <c r="X7" i="6"/>
  <c r="N30" i="6"/>
  <c r="T30" i="6" s="1"/>
  <c r="J8" i="6"/>
  <c r="K8" i="6" s="1"/>
  <c r="S8" i="6"/>
  <c r="V8" i="6" s="1"/>
  <c r="N8" i="6"/>
  <c r="P8" i="6"/>
  <c r="W8" i="6" s="1"/>
  <c r="Q6" i="6"/>
  <c r="T6" i="6"/>
  <c r="M18" i="5"/>
  <c r="G9" i="6"/>
  <c r="M9" i="6" s="1"/>
  <c r="I10" i="6"/>
  <c r="S1" i="6"/>
  <c r="V6" i="6"/>
  <c r="W6" i="6"/>
  <c r="P1" i="6"/>
  <c r="Q84" i="6"/>
  <c r="T84" i="6"/>
  <c r="L13" i="5"/>
  <c r="L61" i="5"/>
  <c r="U31" i="6"/>
  <c r="M31" i="6" s="1"/>
  <c r="N31" i="6" s="1"/>
  <c r="O31" i="6"/>
  <c r="L32" i="6"/>
  <c r="U32" i="6" s="1"/>
  <c r="Y5" i="6"/>
  <c r="E5" i="6"/>
  <c r="K82" i="5"/>
  <c r="K81" i="5"/>
  <c r="R88" i="6"/>
  <c r="O88" i="6"/>
  <c r="L89" i="6"/>
  <c r="U89" i="6" s="1"/>
  <c r="U88" i="6"/>
  <c r="Q7" i="6"/>
  <c r="T7" i="6"/>
  <c r="J17" i="5"/>
  <c r="K18" i="5"/>
  <c r="F90" i="6"/>
  <c r="H89" i="6"/>
  <c r="I89" i="6" s="1"/>
  <c r="P30" i="6"/>
  <c r="W30" i="6" s="1"/>
  <c r="S30" i="6"/>
  <c r="V30" i="6" s="1"/>
  <c r="R31" i="6"/>
  <c r="J86" i="6"/>
  <c r="M85" i="6"/>
  <c r="K85" i="6"/>
  <c r="S103" i="4" l="1"/>
  <c r="S104" i="4" s="1"/>
  <c r="S105" i="4" s="1"/>
  <c r="S106" i="4" s="1"/>
  <c r="S107" i="4" s="1"/>
  <c r="S108" i="4" s="1"/>
  <c r="S109" i="4" s="1"/>
  <c r="S110" i="4" s="1"/>
  <c r="S111" i="4" s="1"/>
  <c r="Z87" i="2"/>
  <c r="Y87" i="2"/>
  <c r="V101" i="2" s="1"/>
  <c r="Z32" i="6"/>
  <c r="E84" i="6"/>
  <c r="R12" i="6"/>
  <c r="U12" i="6"/>
  <c r="H14" i="6"/>
  <c r="F13" i="6"/>
  <c r="I33" i="6"/>
  <c r="G33" i="6" s="1"/>
  <c r="M32" i="6"/>
  <c r="S32" i="6" s="1"/>
  <c r="X6" i="6"/>
  <c r="Y6" i="6" s="1"/>
  <c r="X8" i="6"/>
  <c r="J31" i="6"/>
  <c r="K31" i="6" s="1"/>
  <c r="K17" i="5"/>
  <c r="Y29" i="6"/>
  <c r="E29" i="6"/>
  <c r="Y7" i="6"/>
  <c r="E7" i="6"/>
  <c r="Q30" i="6"/>
  <c r="H90" i="6"/>
  <c r="I90" i="6" s="1"/>
  <c r="L18" i="5"/>
  <c r="M17" i="5"/>
  <c r="G89" i="6"/>
  <c r="R89" i="6"/>
  <c r="L90" i="6"/>
  <c r="R90" i="6" s="1"/>
  <c r="O89" i="6"/>
  <c r="S85" i="6"/>
  <c r="V85" i="6" s="1"/>
  <c r="N85" i="6"/>
  <c r="M86" i="6"/>
  <c r="P85" i="6"/>
  <c r="W85" i="6" s="1"/>
  <c r="F91" i="6"/>
  <c r="T31" i="6"/>
  <c r="Q31" i="6"/>
  <c r="J87" i="6"/>
  <c r="K86" i="6"/>
  <c r="R32" i="6"/>
  <c r="L33" i="6"/>
  <c r="U33" i="6" s="1"/>
  <c r="O32" i="6"/>
  <c r="Q8" i="6"/>
  <c r="T8" i="6"/>
  <c r="P31" i="6"/>
  <c r="W31" i="6" s="1"/>
  <c r="S31" i="6"/>
  <c r="V31" i="6" s="1"/>
  <c r="I11" i="6"/>
  <c r="G10" i="6"/>
  <c r="M10" i="6" s="1"/>
  <c r="X30" i="6"/>
  <c r="J9" i="6"/>
  <c r="K9" i="6" s="1"/>
  <c r="P9" i="6"/>
  <c r="N9" i="6"/>
  <c r="S9" i="6"/>
  <c r="AC87" i="2" l="1"/>
  <c r="I87" i="4"/>
  <c r="Z33" i="6"/>
  <c r="V102" i="2"/>
  <c r="W101" i="2"/>
  <c r="E6" i="6"/>
  <c r="R13" i="6"/>
  <c r="U13" i="6"/>
  <c r="H15" i="6"/>
  <c r="F14" i="6"/>
  <c r="I34" i="6"/>
  <c r="G34" i="6" s="1"/>
  <c r="J32" i="6"/>
  <c r="K32" i="6" s="1"/>
  <c r="N32" i="6"/>
  <c r="Q32" i="6" s="1"/>
  <c r="P32" i="6"/>
  <c r="W32" i="6" s="1"/>
  <c r="V32" i="6"/>
  <c r="U90" i="6"/>
  <c r="X85" i="6"/>
  <c r="Y85" i="6" s="1"/>
  <c r="E8" i="6"/>
  <c r="Y8" i="6"/>
  <c r="L17" i="5"/>
  <c r="M33" i="6"/>
  <c r="J33" i="6" s="1"/>
  <c r="K33" i="6" s="1"/>
  <c r="Y30" i="6"/>
  <c r="E30" i="6"/>
  <c r="N86" i="6"/>
  <c r="S86" i="6"/>
  <c r="V86" i="6" s="1"/>
  <c r="M87" i="6"/>
  <c r="P86" i="6"/>
  <c r="W86" i="6" s="1"/>
  <c r="J10" i="6"/>
  <c r="K10" i="6" s="1"/>
  <c r="N10" i="6"/>
  <c r="P10" i="6"/>
  <c r="W10" i="6" s="1"/>
  <c r="S10" i="6"/>
  <c r="V10" i="6" s="1"/>
  <c r="T85" i="6"/>
  <c r="Q85" i="6"/>
  <c r="I12" i="6"/>
  <c r="G11" i="6"/>
  <c r="M11" i="6" s="1"/>
  <c r="R33" i="6"/>
  <c r="L34" i="6"/>
  <c r="U34" i="6" s="1"/>
  <c r="O33" i="6"/>
  <c r="V9" i="6"/>
  <c r="AA7" i="6"/>
  <c r="AA8" i="6" s="1"/>
  <c r="X31" i="6"/>
  <c r="Q9" i="6"/>
  <c r="T9" i="6"/>
  <c r="O90" i="6"/>
  <c r="L91" i="6"/>
  <c r="O91" i="6" s="1"/>
  <c r="W9" i="6"/>
  <c r="AB6" i="6"/>
  <c r="AB7" i="6" s="1"/>
  <c r="AB8" i="6" s="1"/>
  <c r="J88" i="6"/>
  <c r="K87" i="6"/>
  <c r="G90" i="6"/>
  <c r="H91" i="6"/>
  <c r="I91" i="6" s="1"/>
  <c r="H87" i="4" l="1"/>
  <c r="J87" i="4"/>
  <c r="G87" i="4"/>
  <c r="P112" i="4" s="1"/>
  <c r="W102" i="2"/>
  <c r="Z34" i="6"/>
  <c r="K85" i="2"/>
  <c r="G91" i="6"/>
  <c r="R14" i="6"/>
  <c r="U14" i="6"/>
  <c r="F15" i="6"/>
  <c r="H16" i="6"/>
  <c r="E85" i="6"/>
  <c r="I35" i="6"/>
  <c r="G35" i="6" s="1"/>
  <c r="T32" i="6"/>
  <c r="P33" i="6"/>
  <c r="W33" i="6" s="1"/>
  <c r="X32" i="6"/>
  <c r="Y32" i="6" s="1"/>
  <c r="N33" i="6"/>
  <c r="Q33" i="6" s="1"/>
  <c r="S33" i="6"/>
  <c r="V33" i="6" s="1"/>
  <c r="AC8" i="6"/>
  <c r="R91" i="6"/>
  <c r="U91" i="6"/>
  <c r="H87" i="2"/>
  <c r="M88" i="6"/>
  <c r="S87" i="6"/>
  <c r="V87" i="6" s="1"/>
  <c r="P87" i="6"/>
  <c r="W87" i="6" s="1"/>
  <c r="N87" i="6"/>
  <c r="Y31" i="6"/>
  <c r="E31" i="6"/>
  <c r="J11" i="6"/>
  <c r="K11" i="6" s="1"/>
  <c r="P11" i="6"/>
  <c r="W11" i="6" s="1"/>
  <c r="N11" i="6"/>
  <c r="S11" i="6"/>
  <c r="V11" i="6" s="1"/>
  <c r="Q86" i="6"/>
  <c r="T86" i="6"/>
  <c r="K88" i="6"/>
  <c r="J89" i="6"/>
  <c r="I13" i="6"/>
  <c r="G12" i="6"/>
  <c r="M12" i="6" s="1"/>
  <c r="I18" i="6"/>
  <c r="X10" i="6"/>
  <c r="X9" i="6"/>
  <c r="Q10" i="6"/>
  <c r="T10" i="6"/>
  <c r="M34" i="6"/>
  <c r="R34" i="6"/>
  <c r="L35" i="6"/>
  <c r="U35" i="6" s="1"/>
  <c r="O34" i="6"/>
  <c r="X86" i="6"/>
  <c r="U101" i="4" l="1"/>
  <c r="U100" i="4"/>
  <c r="T100" i="4" s="1"/>
  <c r="P113" i="4"/>
  <c r="P103" i="4"/>
  <c r="I87" i="2"/>
  <c r="W87" i="2"/>
  <c r="AB87" i="2"/>
  <c r="L87" i="4"/>
  <c r="K85" i="4"/>
  <c r="Z35" i="6"/>
  <c r="H17" i="6"/>
  <c r="F17" i="6" s="1"/>
  <c r="F16" i="6"/>
  <c r="R15" i="6"/>
  <c r="U15" i="6"/>
  <c r="I36" i="6"/>
  <c r="G36" i="6" s="1"/>
  <c r="T33" i="6"/>
  <c r="E32" i="6"/>
  <c r="M35" i="6"/>
  <c r="S35" i="6" s="1"/>
  <c r="X87" i="6"/>
  <c r="E87" i="6" s="1"/>
  <c r="X33" i="6"/>
  <c r="Y33" i="6" s="1"/>
  <c r="E86" i="6"/>
  <c r="Y86" i="6"/>
  <c r="Y9" i="6"/>
  <c r="E9" i="6"/>
  <c r="P34" i="6"/>
  <c r="W34" i="6" s="1"/>
  <c r="S34" i="6"/>
  <c r="V34" i="6" s="1"/>
  <c r="Y10" i="6"/>
  <c r="E10" i="6"/>
  <c r="Q87" i="6"/>
  <c r="T87" i="6"/>
  <c r="I19" i="6"/>
  <c r="G18" i="6"/>
  <c r="M18" i="6" s="1"/>
  <c r="Q11" i="6"/>
  <c r="T11" i="6"/>
  <c r="N34" i="6"/>
  <c r="J12" i="6"/>
  <c r="K12" i="6" s="1"/>
  <c r="N12" i="6"/>
  <c r="P12" i="6"/>
  <c r="W12" i="6" s="1"/>
  <c r="S12" i="6"/>
  <c r="V12" i="6" s="1"/>
  <c r="X11" i="6"/>
  <c r="I14" i="6"/>
  <c r="G13" i="6"/>
  <c r="M13" i="6" s="1"/>
  <c r="M89" i="6"/>
  <c r="P88" i="6"/>
  <c r="W88" i="6" s="1"/>
  <c r="S88" i="6"/>
  <c r="V88" i="6" s="1"/>
  <c r="N88" i="6"/>
  <c r="R35" i="6"/>
  <c r="O35" i="6"/>
  <c r="L36" i="6"/>
  <c r="U36" i="6" s="1"/>
  <c r="J90" i="6"/>
  <c r="K89" i="6"/>
  <c r="J34" i="6"/>
  <c r="K34" i="6" s="1"/>
  <c r="P104" i="4" l="1"/>
  <c r="P105" i="4" s="1"/>
  <c r="P106" i="4" s="1"/>
  <c r="P107" i="4" s="1"/>
  <c r="P108" i="4" s="1"/>
  <c r="P109" i="4" s="1"/>
  <c r="P110" i="4" s="1"/>
  <c r="P111" i="4" s="1"/>
  <c r="R103" i="4"/>
  <c r="U102" i="4"/>
  <c r="T101" i="4"/>
  <c r="Z36" i="6"/>
  <c r="G87" i="2"/>
  <c r="R16" i="6"/>
  <c r="U16" i="6"/>
  <c r="U17" i="6"/>
  <c r="R17" i="6"/>
  <c r="I37" i="6"/>
  <c r="G37" i="6" s="1"/>
  <c r="P35" i="6"/>
  <c r="W35" i="6" s="1"/>
  <c r="J35" i="6"/>
  <c r="K35" i="6" s="1"/>
  <c r="N35" i="6"/>
  <c r="Q35" i="6" s="1"/>
  <c r="X34" i="6"/>
  <c r="Y34" i="6" s="1"/>
  <c r="E33" i="6"/>
  <c r="X88" i="6"/>
  <c r="E88" i="6" s="1"/>
  <c r="Y87" i="6"/>
  <c r="M36" i="6"/>
  <c r="N36" i="6" s="1"/>
  <c r="E11" i="6"/>
  <c r="Y11" i="6"/>
  <c r="Q88" i="6"/>
  <c r="T88" i="6"/>
  <c r="X12" i="6"/>
  <c r="J18" i="6"/>
  <c r="K18" i="6" s="1"/>
  <c r="N18" i="6"/>
  <c r="P18" i="6"/>
  <c r="W18" i="6" s="1"/>
  <c r="S18" i="6"/>
  <c r="V18" i="6" s="1"/>
  <c r="Q12" i="6"/>
  <c r="T12" i="6"/>
  <c r="I20" i="6"/>
  <c r="G19" i="6"/>
  <c r="P89" i="6"/>
  <c r="W89" i="6" s="1"/>
  <c r="S89" i="6"/>
  <c r="V89" i="6" s="1"/>
  <c r="N89" i="6"/>
  <c r="M90" i="6"/>
  <c r="K90" i="6"/>
  <c r="J91" i="6"/>
  <c r="K91" i="6" s="1"/>
  <c r="J13" i="6"/>
  <c r="K13" i="6" s="1"/>
  <c r="S13" i="6"/>
  <c r="V13" i="6" s="1"/>
  <c r="P13" i="6"/>
  <c r="W13" i="6" s="1"/>
  <c r="N13" i="6"/>
  <c r="Q34" i="6"/>
  <c r="T34" i="6"/>
  <c r="R36" i="6"/>
  <c r="L37" i="6"/>
  <c r="O36" i="6"/>
  <c r="I15" i="6"/>
  <c r="G14" i="6"/>
  <c r="V35" i="6"/>
  <c r="T102" i="4" l="1"/>
  <c r="U103" i="4"/>
  <c r="R104" i="4"/>
  <c r="Q103" i="4"/>
  <c r="Z37" i="6"/>
  <c r="U101" i="2"/>
  <c r="U100" i="2"/>
  <c r="T100" i="2" s="1"/>
  <c r="I38" i="6"/>
  <c r="G38" i="6" s="1"/>
  <c r="Y88" i="6"/>
  <c r="E34" i="6"/>
  <c r="T35" i="6"/>
  <c r="X18" i="6"/>
  <c r="E18" i="6" s="1"/>
  <c r="P112" i="2"/>
  <c r="S36" i="6"/>
  <c r="V36" i="6" s="1"/>
  <c r="L85" i="2"/>
  <c r="X89" i="6"/>
  <c r="E89" i="6" s="1"/>
  <c r="X35" i="6"/>
  <c r="Y35" i="6" s="1"/>
  <c r="J36" i="6"/>
  <c r="K36" i="6" s="1"/>
  <c r="P36" i="6"/>
  <c r="W36" i="6" s="1"/>
  <c r="X13" i="6"/>
  <c r="Y13" i="6" s="1"/>
  <c r="Q13" i="6"/>
  <c r="T13" i="6"/>
  <c r="R37" i="6"/>
  <c r="L38" i="6"/>
  <c r="U38" i="6" s="1"/>
  <c r="O37" i="6"/>
  <c r="Q18" i="6"/>
  <c r="T18" i="6"/>
  <c r="U37" i="6"/>
  <c r="M37" i="6" s="1"/>
  <c r="N37" i="6" s="1"/>
  <c r="M19" i="6"/>
  <c r="J19" i="6" s="1"/>
  <c r="K19" i="6" s="1"/>
  <c r="Y12" i="6"/>
  <c r="E12" i="6"/>
  <c r="I21" i="6"/>
  <c r="G20" i="6"/>
  <c r="M14" i="6"/>
  <c r="J14" i="6" s="1"/>
  <c r="K14" i="6" s="1"/>
  <c r="M91" i="6"/>
  <c r="P90" i="6"/>
  <c r="W90" i="6" s="1"/>
  <c r="S90" i="6"/>
  <c r="V90" i="6" s="1"/>
  <c r="N90" i="6"/>
  <c r="G15" i="6"/>
  <c r="M15" i="6" s="1"/>
  <c r="I16" i="6"/>
  <c r="Q89" i="6"/>
  <c r="T89" i="6"/>
  <c r="Q36" i="6"/>
  <c r="T36" i="6"/>
  <c r="Q104" i="4" l="1"/>
  <c r="R105" i="4"/>
  <c r="U104" i="4"/>
  <c r="T103" i="4"/>
  <c r="AA87" i="2"/>
  <c r="J87" i="2"/>
  <c r="Z38" i="6"/>
  <c r="P113" i="2"/>
  <c r="P103" i="2"/>
  <c r="L85" i="4"/>
  <c r="A88" i="4"/>
  <c r="D149" i="4"/>
  <c r="H148" i="4"/>
  <c r="D112" i="4"/>
  <c r="I39" i="6"/>
  <c r="G39" i="6" s="1"/>
  <c r="Y18" i="6"/>
  <c r="X36" i="6"/>
  <c r="Y36" i="6" s="1"/>
  <c r="E35" i="6"/>
  <c r="E13" i="6"/>
  <c r="Y89" i="6"/>
  <c r="M38" i="6"/>
  <c r="N38" i="6" s="1"/>
  <c r="Q37" i="6"/>
  <c r="T37" i="6"/>
  <c r="M20" i="6"/>
  <c r="J20" i="6" s="1"/>
  <c r="K20" i="6" s="1"/>
  <c r="Q90" i="6"/>
  <c r="T90" i="6"/>
  <c r="R38" i="6"/>
  <c r="L39" i="6"/>
  <c r="R39" i="6" s="1"/>
  <c r="O38" i="6"/>
  <c r="I17" i="6"/>
  <c r="G17" i="6" s="1"/>
  <c r="G16" i="6"/>
  <c r="M16" i="6" s="1"/>
  <c r="X90" i="6"/>
  <c r="G21" i="6"/>
  <c r="M21" i="6" s="1"/>
  <c r="I22" i="6"/>
  <c r="J15" i="6"/>
  <c r="K15" i="6" s="1"/>
  <c r="N15" i="6"/>
  <c r="P15" i="6"/>
  <c r="W15" i="6" s="1"/>
  <c r="S15" i="6"/>
  <c r="V15" i="6" s="1"/>
  <c r="S91" i="6"/>
  <c r="V91" i="6" s="1"/>
  <c r="P91" i="6"/>
  <c r="W91" i="6" s="1"/>
  <c r="N91" i="6"/>
  <c r="J37" i="6"/>
  <c r="K37" i="6" s="1"/>
  <c r="P37" i="6"/>
  <c r="W37" i="6" s="1"/>
  <c r="S37" i="6"/>
  <c r="V37" i="6" s="1"/>
  <c r="P14" i="6"/>
  <c r="W14" i="6" s="1"/>
  <c r="S14" i="6"/>
  <c r="V14" i="6" s="1"/>
  <c r="N14" i="6"/>
  <c r="N19" i="6"/>
  <c r="P19" i="6"/>
  <c r="W19" i="6" s="1"/>
  <c r="S19" i="6"/>
  <c r="V19" i="6" s="1"/>
  <c r="V103" i="4" l="1"/>
  <c r="S114" i="4"/>
  <c r="S115" i="4" s="1"/>
  <c r="S116" i="4" s="1"/>
  <c r="S117" i="4" s="1"/>
  <c r="S118" i="4" s="1"/>
  <c r="S119" i="4" s="1"/>
  <c r="S120" i="4" s="1"/>
  <c r="S121" i="4" s="1"/>
  <c r="S122" i="4" s="1"/>
  <c r="S123" i="4" s="1"/>
  <c r="S124" i="4" s="1"/>
  <c r="S125" i="4" s="1"/>
  <c r="S126" i="4" s="1"/>
  <c r="S127" i="4" s="1"/>
  <c r="S128" i="4" s="1"/>
  <c r="S129" i="4" s="1"/>
  <c r="S130" i="4" s="1"/>
  <c r="S131" i="4" s="1"/>
  <c r="P114" i="4"/>
  <c r="P115" i="4" s="1"/>
  <c r="P116" i="4" s="1"/>
  <c r="P117" i="4" s="1"/>
  <c r="P118" i="4" s="1"/>
  <c r="P119" i="4" s="1"/>
  <c r="P120" i="4" s="1"/>
  <c r="P121" i="4" s="1"/>
  <c r="P122" i="4" s="1"/>
  <c r="P123" i="4" s="1"/>
  <c r="P124" i="4" s="1"/>
  <c r="P125" i="4" s="1"/>
  <c r="P126" i="4" s="1"/>
  <c r="P127" i="4" s="1"/>
  <c r="P128" i="4" s="1"/>
  <c r="P129" i="4" s="1"/>
  <c r="P130" i="4" s="1"/>
  <c r="P131" i="4" s="1"/>
  <c r="U105" i="4"/>
  <c r="T104" i="4"/>
  <c r="Q105" i="4"/>
  <c r="R106" i="4"/>
  <c r="M87" i="2"/>
  <c r="S112" i="2" s="1"/>
  <c r="S113" i="2" s="1"/>
  <c r="Z39" i="6"/>
  <c r="O13" i="5"/>
  <c r="O18" i="5" s="1"/>
  <c r="N18" i="5"/>
  <c r="P104" i="2"/>
  <c r="P105" i="2" s="1"/>
  <c r="P106" i="2" s="1"/>
  <c r="P107" i="2" s="1"/>
  <c r="P108" i="2" s="1"/>
  <c r="P109" i="2" s="1"/>
  <c r="P110" i="2" s="1"/>
  <c r="P111" i="2" s="1"/>
  <c r="R103" i="2"/>
  <c r="H147" i="4"/>
  <c r="D150" i="4"/>
  <c r="D147" i="4"/>
  <c r="I40" i="6"/>
  <c r="G40" i="6" s="1"/>
  <c r="S38" i="6"/>
  <c r="V38" i="6" s="1"/>
  <c r="J38" i="6"/>
  <c r="K38" i="6" s="1"/>
  <c r="P38" i="6"/>
  <c r="W38" i="6" s="1"/>
  <c r="X37" i="6"/>
  <c r="E37" i="6" s="1"/>
  <c r="E36" i="6"/>
  <c r="X91" i="6"/>
  <c r="X15" i="6"/>
  <c r="X19" i="6"/>
  <c r="Q15" i="6"/>
  <c r="T15" i="6"/>
  <c r="Q38" i="6"/>
  <c r="T38" i="6"/>
  <c r="T19" i="6"/>
  <c r="Q19" i="6"/>
  <c r="U39" i="6"/>
  <c r="M39" i="6" s="1"/>
  <c r="J39" i="6" s="1"/>
  <c r="K39" i="6" s="1"/>
  <c r="O39" i="6"/>
  <c r="L40" i="6"/>
  <c r="R40" i="6" s="1"/>
  <c r="N20" i="6"/>
  <c r="P20" i="6"/>
  <c r="W20" i="6" s="1"/>
  <c r="S20" i="6"/>
  <c r="V20" i="6" s="1"/>
  <c r="T14" i="6"/>
  <c r="Q14" i="6"/>
  <c r="G22" i="6"/>
  <c r="I23" i="6"/>
  <c r="G23" i="6" s="1"/>
  <c r="M23" i="6" s="1"/>
  <c r="T91" i="6"/>
  <c r="Q91" i="6"/>
  <c r="J21" i="6"/>
  <c r="K21" i="6" s="1"/>
  <c r="S21" i="6"/>
  <c r="V21" i="6" s="1"/>
  <c r="N21" i="6"/>
  <c r="P21" i="6"/>
  <c r="W21" i="6" s="1"/>
  <c r="M17" i="6"/>
  <c r="J17" i="6" s="1"/>
  <c r="K17" i="6" s="1"/>
  <c r="X14" i="6"/>
  <c r="Y90" i="6"/>
  <c r="E90" i="6"/>
  <c r="J16" i="6"/>
  <c r="K16" i="6" s="1"/>
  <c r="N16" i="6"/>
  <c r="P16" i="6"/>
  <c r="W16" i="6" s="1"/>
  <c r="S16" i="6"/>
  <c r="V16" i="6" s="1"/>
  <c r="T105" i="4" l="1"/>
  <c r="U106" i="4"/>
  <c r="R112" i="4"/>
  <c r="R107" i="4"/>
  <c r="Q106" i="4"/>
  <c r="V104" i="4"/>
  <c r="V105" i="4" s="1"/>
  <c r="V106" i="4" s="1"/>
  <c r="V107" i="4" s="1"/>
  <c r="V108" i="4" s="1"/>
  <c r="V109" i="4" s="1"/>
  <c r="V110" i="4" s="1"/>
  <c r="V111" i="4" s="1"/>
  <c r="V112" i="4" s="1"/>
  <c r="V113" i="4" s="1"/>
  <c r="V114" i="4" s="1"/>
  <c r="V115" i="4" s="1"/>
  <c r="V116" i="4" s="1"/>
  <c r="V117" i="4" s="1"/>
  <c r="V118" i="4" s="1"/>
  <c r="V119" i="4" s="1"/>
  <c r="V120" i="4" s="1"/>
  <c r="V121" i="4" s="1"/>
  <c r="V122" i="4" s="1"/>
  <c r="V123" i="4" s="1"/>
  <c r="V124" i="4" s="1"/>
  <c r="V125" i="4" s="1"/>
  <c r="V126" i="4" s="1"/>
  <c r="V127" i="4" s="1"/>
  <c r="V128" i="4" s="1"/>
  <c r="V129" i="4" s="1"/>
  <c r="V130" i="4" s="1"/>
  <c r="V131" i="4" s="1"/>
  <c r="X103" i="4"/>
  <c r="L87" i="2"/>
  <c r="K87" i="2"/>
  <c r="S101" i="2" s="1"/>
  <c r="Z40" i="6"/>
  <c r="N17" i="5"/>
  <c r="O17" i="5"/>
  <c r="R104" i="2"/>
  <c r="Q103" i="2"/>
  <c r="I41" i="6"/>
  <c r="G41" i="6" s="1"/>
  <c r="A88" i="2"/>
  <c r="D149" i="2"/>
  <c r="H148" i="2"/>
  <c r="Y37" i="6"/>
  <c r="U40" i="6"/>
  <c r="M40" i="6" s="1"/>
  <c r="S40" i="6" s="1"/>
  <c r="X38" i="6"/>
  <c r="E38" i="6" s="1"/>
  <c r="X20" i="6"/>
  <c r="Y20" i="6" s="1"/>
  <c r="E91" i="6"/>
  <c r="Y91" i="6"/>
  <c r="X21" i="6"/>
  <c r="Y21" i="6" s="1"/>
  <c r="Q21" i="6"/>
  <c r="T21" i="6"/>
  <c r="P39" i="6"/>
  <c r="W39" i="6" s="1"/>
  <c r="S39" i="6"/>
  <c r="V39" i="6" s="1"/>
  <c r="Y14" i="6"/>
  <c r="E14" i="6"/>
  <c r="Q20" i="6"/>
  <c r="T20" i="6"/>
  <c r="X16" i="6"/>
  <c r="J23" i="6"/>
  <c r="K23" i="6" s="1"/>
  <c r="N23" i="6"/>
  <c r="P23" i="6"/>
  <c r="W23" i="6" s="1"/>
  <c r="S23" i="6"/>
  <c r="V23" i="6" s="1"/>
  <c r="N39" i="6"/>
  <c r="Y19" i="6"/>
  <c r="E19" i="6"/>
  <c r="N17" i="6"/>
  <c r="P17" i="6"/>
  <c r="W17" i="6" s="1"/>
  <c r="S17" i="6"/>
  <c r="V17" i="6" s="1"/>
  <c r="Q16" i="6"/>
  <c r="T16" i="6"/>
  <c r="M22" i="6"/>
  <c r="J22" i="6" s="1"/>
  <c r="K22" i="6" s="1"/>
  <c r="L41" i="6"/>
  <c r="O40" i="6"/>
  <c r="E15" i="6"/>
  <c r="Y15" i="6"/>
  <c r="R108" i="4" l="1"/>
  <c r="Q107" i="4"/>
  <c r="W103" i="4"/>
  <c r="X104" i="4"/>
  <c r="Q112" i="4"/>
  <c r="R113" i="4"/>
  <c r="U107" i="4"/>
  <c r="U112" i="4"/>
  <c r="T106" i="4"/>
  <c r="Z41" i="6"/>
  <c r="R105" i="2"/>
  <c r="Q104" i="2"/>
  <c r="S102" i="2"/>
  <c r="S103" i="2" s="1"/>
  <c r="S104" i="2" s="1"/>
  <c r="S105" i="2" s="1"/>
  <c r="S106" i="2" s="1"/>
  <c r="S107" i="2" s="1"/>
  <c r="S108" i="2" s="1"/>
  <c r="S109" i="2" s="1"/>
  <c r="S110" i="2" s="1"/>
  <c r="S111" i="2" s="1"/>
  <c r="T101" i="2"/>
  <c r="D112" i="2"/>
  <c r="I42" i="6"/>
  <c r="G42" i="6" s="1"/>
  <c r="H147" i="2"/>
  <c r="D147" i="2"/>
  <c r="D150" i="2"/>
  <c r="N40" i="6"/>
  <c r="Q40" i="6" s="1"/>
  <c r="Y38" i="6"/>
  <c r="J40" i="6"/>
  <c r="K40" i="6" s="1"/>
  <c r="E21" i="6"/>
  <c r="E20" i="6"/>
  <c r="P40" i="6"/>
  <c r="W40" i="6" s="1"/>
  <c r="X17" i="6"/>
  <c r="Y17" i="6" s="1"/>
  <c r="T17" i="6"/>
  <c r="Q17" i="6"/>
  <c r="Y16" i="6"/>
  <c r="E16" i="6"/>
  <c r="R41" i="6"/>
  <c r="O41" i="6"/>
  <c r="L42" i="6"/>
  <c r="X39" i="6"/>
  <c r="T39" i="6"/>
  <c r="Q39" i="6"/>
  <c r="X23" i="6"/>
  <c r="U41" i="6"/>
  <c r="M41" i="6" s="1"/>
  <c r="N41" i="6" s="1"/>
  <c r="V40" i="6"/>
  <c r="N22" i="6"/>
  <c r="P22" i="6"/>
  <c r="W22" i="6" s="1"/>
  <c r="S22" i="6"/>
  <c r="V22" i="6" s="1"/>
  <c r="Q23" i="6"/>
  <c r="T23" i="6"/>
  <c r="U113" i="4" l="1"/>
  <c r="T112" i="4"/>
  <c r="X105" i="4"/>
  <c r="W104" i="4"/>
  <c r="U108" i="4"/>
  <c r="T107" i="4"/>
  <c r="R114" i="4"/>
  <c r="Q113" i="4"/>
  <c r="Q108" i="4"/>
  <c r="R109" i="4"/>
  <c r="Z42" i="6"/>
  <c r="U102" i="2"/>
  <c r="V103" i="2"/>
  <c r="X103" i="2" s="1"/>
  <c r="P114" i="2"/>
  <c r="P115" i="2" s="1"/>
  <c r="P116" i="2" s="1"/>
  <c r="P117" i="2" s="1"/>
  <c r="P118" i="2" s="1"/>
  <c r="P119" i="2" s="1"/>
  <c r="P120" i="2" s="1"/>
  <c r="P121" i="2" s="1"/>
  <c r="P122" i="2" s="1"/>
  <c r="P123" i="2" s="1"/>
  <c r="P124" i="2" s="1"/>
  <c r="P125" i="2" s="1"/>
  <c r="P126" i="2" s="1"/>
  <c r="P127" i="2" s="1"/>
  <c r="P128" i="2" s="1"/>
  <c r="P129" i="2" s="1"/>
  <c r="P130" i="2" s="1"/>
  <c r="P131" i="2" s="1"/>
  <c r="S114" i="2"/>
  <c r="S115" i="2" s="1"/>
  <c r="S116" i="2" s="1"/>
  <c r="S117" i="2" s="1"/>
  <c r="S118" i="2" s="1"/>
  <c r="S119" i="2" s="1"/>
  <c r="S120" i="2" s="1"/>
  <c r="S121" i="2" s="1"/>
  <c r="S122" i="2" s="1"/>
  <c r="S123" i="2" s="1"/>
  <c r="S124" i="2" s="1"/>
  <c r="S125" i="2" s="1"/>
  <c r="S126" i="2" s="1"/>
  <c r="S127" i="2" s="1"/>
  <c r="S128" i="2" s="1"/>
  <c r="S129" i="2" s="1"/>
  <c r="S130" i="2" s="1"/>
  <c r="S131" i="2" s="1"/>
  <c r="Q105" i="2"/>
  <c r="R106" i="2"/>
  <c r="I43" i="6"/>
  <c r="G43" i="6" s="1"/>
  <c r="X40" i="6"/>
  <c r="Y40" i="6" s="1"/>
  <c r="T40" i="6"/>
  <c r="E17" i="6"/>
  <c r="Q22" i="6"/>
  <c r="T22" i="6"/>
  <c r="L43" i="6"/>
  <c r="R43" i="6" s="1"/>
  <c r="O42" i="6"/>
  <c r="S41" i="6"/>
  <c r="V41" i="6" s="1"/>
  <c r="P41" i="6"/>
  <c r="W41" i="6" s="1"/>
  <c r="J41" i="6"/>
  <c r="K41" i="6" s="1"/>
  <c r="Y23" i="6"/>
  <c r="E23" i="6"/>
  <c r="T41" i="6"/>
  <c r="Q41" i="6"/>
  <c r="R42" i="6"/>
  <c r="X22" i="6"/>
  <c r="U42" i="6"/>
  <c r="M42" i="6" s="1"/>
  <c r="N42" i="6" s="1"/>
  <c r="Y39" i="6"/>
  <c r="E39" i="6"/>
  <c r="R115" i="4" l="1"/>
  <c r="Q114" i="4"/>
  <c r="X106" i="4"/>
  <c r="W105" i="4"/>
  <c r="Q109" i="4"/>
  <c r="R110" i="4"/>
  <c r="U109" i="4"/>
  <c r="T108" i="4"/>
  <c r="T113" i="4"/>
  <c r="U114" i="4"/>
  <c r="Z43" i="6"/>
  <c r="V104" i="2"/>
  <c r="V105" i="2" s="1"/>
  <c r="V106" i="2" s="1"/>
  <c r="V107" i="2" s="1"/>
  <c r="V108" i="2" s="1"/>
  <c r="V109" i="2" s="1"/>
  <c r="V110" i="2" s="1"/>
  <c r="V111" i="2" s="1"/>
  <c r="V112" i="2" s="1"/>
  <c r="V113" i="2" s="1"/>
  <c r="V114" i="2" s="1"/>
  <c r="V115" i="2" s="1"/>
  <c r="V116" i="2" s="1"/>
  <c r="V117" i="2" s="1"/>
  <c r="V118" i="2" s="1"/>
  <c r="V119" i="2" s="1"/>
  <c r="V120" i="2" s="1"/>
  <c r="V121" i="2" s="1"/>
  <c r="V122" i="2" s="1"/>
  <c r="V123" i="2" s="1"/>
  <c r="V124" i="2" s="1"/>
  <c r="V125" i="2" s="1"/>
  <c r="V126" i="2" s="1"/>
  <c r="V127" i="2" s="1"/>
  <c r="V128" i="2" s="1"/>
  <c r="V129" i="2" s="1"/>
  <c r="V130" i="2" s="1"/>
  <c r="V131" i="2" s="1"/>
  <c r="Q106" i="2"/>
  <c r="R112" i="2"/>
  <c r="R107" i="2"/>
  <c r="T102" i="2"/>
  <c r="U103" i="2"/>
  <c r="U104" i="2" s="1"/>
  <c r="U105" i="2" s="1"/>
  <c r="U106" i="2" s="1"/>
  <c r="I44" i="6"/>
  <c r="G44" i="6" s="1"/>
  <c r="E40" i="6"/>
  <c r="Q42" i="6"/>
  <c r="T42" i="6"/>
  <c r="Y22" i="6"/>
  <c r="E22" i="6"/>
  <c r="U43" i="6"/>
  <c r="M43" i="6" s="1"/>
  <c r="N43" i="6" s="1"/>
  <c r="L44" i="6"/>
  <c r="O43" i="6"/>
  <c r="P42" i="6"/>
  <c r="W42" i="6" s="1"/>
  <c r="S42" i="6"/>
  <c r="V42" i="6" s="1"/>
  <c r="J42" i="6"/>
  <c r="K42" i="6" s="1"/>
  <c r="X41" i="6"/>
  <c r="T109" i="4" l="1"/>
  <c r="U110" i="4"/>
  <c r="W106" i="4"/>
  <c r="X107" i="4"/>
  <c r="T114" i="4"/>
  <c r="U115" i="4"/>
  <c r="Q110" i="4"/>
  <c r="R111" i="4"/>
  <c r="Q111" i="4" s="1"/>
  <c r="Q115" i="4"/>
  <c r="R116" i="4"/>
  <c r="X104" i="2"/>
  <c r="X105" i="2" s="1"/>
  <c r="X106" i="2" s="1"/>
  <c r="X107" i="2" s="1"/>
  <c r="X108" i="2" s="1"/>
  <c r="X109" i="2" s="1"/>
  <c r="X110" i="2" s="1"/>
  <c r="X111" i="2" s="1"/>
  <c r="X112" i="2" s="1"/>
  <c r="X113" i="2" s="1"/>
  <c r="X114" i="2" s="1"/>
  <c r="X115" i="2" s="1"/>
  <c r="X116" i="2" s="1"/>
  <c r="X117" i="2" s="1"/>
  <c r="X118" i="2" s="1"/>
  <c r="X119" i="2" s="1"/>
  <c r="X120" i="2" s="1"/>
  <c r="X121" i="2" s="1"/>
  <c r="X122" i="2" s="1"/>
  <c r="X123" i="2" s="1"/>
  <c r="X124" i="2" s="1"/>
  <c r="X125" i="2" s="1"/>
  <c r="X126" i="2" s="1"/>
  <c r="X127" i="2" s="1"/>
  <c r="X128" i="2" s="1"/>
  <c r="X129" i="2" s="1"/>
  <c r="X130" i="2" s="1"/>
  <c r="X131" i="2" s="1"/>
  <c r="U107" i="2"/>
  <c r="U108" i="2" s="1"/>
  <c r="U109" i="2" s="1"/>
  <c r="U110" i="2" s="1"/>
  <c r="U111" i="2" s="1"/>
  <c r="U112" i="2"/>
  <c r="U113" i="2" s="1"/>
  <c r="U114" i="2" s="1"/>
  <c r="U115" i="2" s="1"/>
  <c r="U116" i="2" s="1"/>
  <c r="U117" i="2" s="1"/>
  <c r="U118" i="2" s="1"/>
  <c r="U119" i="2" s="1"/>
  <c r="U120" i="2" s="1"/>
  <c r="U121" i="2" s="1"/>
  <c r="U122" i="2" s="1"/>
  <c r="U123" i="2" s="1"/>
  <c r="U124" i="2" s="1"/>
  <c r="U125" i="2" s="1"/>
  <c r="U126" i="2" s="1"/>
  <c r="U127" i="2" s="1"/>
  <c r="U128" i="2" s="1"/>
  <c r="U129" i="2" s="1"/>
  <c r="U130" i="2" s="1"/>
  <c r="U131" i="2" s="1"/>
  <c r="Z44" i="6"/>
  <c r="W103" i="2"/>
  <c r="Q107" i="2"/>
  <c r="R108" i="2"/>
  <c r="T103" i="2"/>
  <c r="R113" i="2"/>
  <c r="R114" i="2" s="1"/>
  <c r="R115" i="2" s="1"/>
  <c r="R116" i="2" s="1"/>
  <c r="R117" i="2" s="1"/>
  <c r="R118" i="2" s="1"/>
  <c r="R119" i="2" s="1"/>
  <c r="R120" i="2" s="1"/>
  <c r="R121" i="2" s="1"/>
  <c r="R122" i="2" s="1"/>
  <c r="R123" i="2" s="1"/>
  <c r="R124" i="2" s="1"/>
  <c r="R125" i="2" s="1"/>
  <c r="R126" i="2" s="1"/>
  <c r="R127" i="2" s="1"/>
  <c r="R128" i="2" s="1"/>
  <c r="R129" i="2" s="1"/>
  <c r="R130" i="2" s="1"/>
  <c r="R131" i="2" s="1"/>
  <c r="Q112" i="2"/>
  <c r="I45" i="6"/>
  <c r="G45" i="6" s="1"/>
  <c r="X42" i="6"/>
  <c r="Q43" i="6"/>
  <c r="T43" i="6"/>
  <c r="E41" i="6"/>
  <c r="Y41" i="6"/>
  <c r="U44" i="6"/>
  <c r="M44" i="6" s="1"/>
  <c r="N44" i="6" s="1"/>
  <c r="L45" i="6"/>
  <c r="R45" i="6" s="1"/>
  <c r="O44" i="6"/>
  <c r="P43" i="6"/>
  <c r="W43" i="6" s="1"/>
  <c r="S43" i="6"/>
  <c r="V43" i="6" s="1"/>
  <c r="J43" i="6"/>
  <c r="K43" i="6" s="1"/>
  <c r="R44" i="6"/>
  <c r="W107" i="4" l="1"/>
  <c r="X108" i="4"/>
  <c r="R117" i="4"/>
  <c r="Q116" i="4"/>
  <c r="U116" i="4"/>
  <c r="T115" i="4"/>
  <c r="U111" i="4"/>
  <c r="T111" i="4" s="1"/>
  <c r="T110" i="4"/>
  <c r="Z45" i="6"/>
  <c r="T104" i="2"/>
  <c r="Q113" i="2"/>
  <c r="R109" i="2"/>
  <c r="Q108" i="2"/>
  <c r="W104" i="2"/>
  <c r="I46" i="6"/>
  <c r="G46" i="6" s="1"/>
  <c r="U45" i="6"/>
  <c r="M45" i="6" s="1"/>
  <c r="S45" i="6" s="1"/>
  <c r="Q44" i="6"/>
  <c r="T44" i="6"/>
  <c r="O45" i="6"/>
  <c r="L46" i="6"/>
  <c r="U46" i="6" s="1"/>
  <c r="P44" i="6"/>
  <c r="W44" i="6" s="1"/>
  <c r="S44" i="6"/>
  <c r="V44" i="6" s="1"/>
  <c r="J44" i="6"/>
  <c r="K44" i="6" s="1"/>
  <c r="X43" i="6"/>
  <c r="E42" i="6"/>
  <c r="Y42" i="6"/>
  <c r="Q117" i="4" l="1"/>
  <c r="R118" i="4"/>
  <c r="W108" i="4"/>
  <c r="X109" i="4"/>
  <c r="T116" i="4"/>
  <c r="U117" i="4"/>
  <c r="Z46" i="6"/>
  <c r="W105" i="2"/>
  <c r="Q114" i="2"/>
  <c r="T105" i="2"/>
  <c r="R110" i="2"/>
  <c r="Q109" i="2"/>
  <c r="I48" i="6"/>
  <c r="I47" i="6"/>
  <c r="G47" i="6" s="1"/>
  <c r="M46" i="6"/>
  <c r="P46" i="6" s="1"/>
  <c r="N45" i="6"/>
  <c r="T45" i="6" s="1"/>
  <c r="J45" i="6"/>
  <c r="K45" i="6" s="1"/>
  <c r="P45" i="6"/>
  <c r="W45" i="6" s="1"/>
  <c r="X44" i="6"/>
  <c r="R46" i="6"/>
  <c r="L47" i="6"/>
  <c r="U47" i="6" s="1"/>
  <c r="O46" i="6"/>
  <c r="E43" i="6"/>
  <c r="Y43" i="6"/>
  <c r="V45" i="6"/>
  <c r="X110" i="4" l="1"/>
  <c r="W109" i="4"/>
  <c r="T117" i="4"/>
  <c r="U118" i="4"/>
  <c r="R119" i="4"/>
  <c r="Q118" i="4"/>
  <c r="Z47" i="6"/>
  <c r="Z48" i="6" s="1"/>
  <c r="Z49" i="6" s="1"/>
  <c r="Z50" i="6" s="1"/>
  <c r="Z51" i="6" s="1"/>
  <c r="Z52" i="6" s="1"/>
  <c r="Z53" i="6" s="1"/>
  <c r="Z54" i="6" s="1"/>
  <c r="Z55" i="6" s="1"/>
  <c r="Z56" i="6" s="1"/>
  <c r="R111" i="2"/>
  <c r="Q111" i="2" s="1"/>
  <c r="Q110" i="2"/>
  <c r="Q115" i="2"/>
  <c r="T106" i="2"/>
  <c r="W106" i="2"/>
  <c r="M47" i="6"/>
  <c r="P47" i="6" s="1"/>
  <c r="Q45" i="6"/>
  <c r="N46" i="6"/>
  <c r="Q46" i="6" s="1"/>
  <c r="W46" i="6"/>
  <c r="X45" i="6"/>
  <c r="Y45" i="6" s="1"/>
  <c r="J46" i="6"/>
  <c r="K46" i="6" s="1"/>
  <c r="S46" i="6"/>
  <c r="V46" i="6" s="1"/>
  <c r="R47" i="6"/>
  <c r="G48" i="6"/>
  <c r="L48" i="6"/>
  <c r="R48" i="6" s="1"/>
  <c r="O47" i="6"/>
  <c r="Y44" i="6"/>
  <c r="E44" i="6"/>
  <c r="T118" i="4" l="1"/>
  <c r="U119" i="4"/>
  <c r="R120" i="4"/>
  <c r="Q119" i="4"/>
  <c r="W110" i="4"/>
  <c r="X111" i="4"/>
  <c r="W107" i="2"/>
  <c r="T112" i="2"/>
  <c r="Q116" i="2"/>
  <c r="T107" i="2"/>
  <c r="E45" i="6"/>
  <c r="N47" i="6"/>
  <c r="Q47" i="6" s="1"/>
  <c r="W47" i="6"/>
  <c r="J47" i="6"/>
  <c r="K47" i="6" s="1"/>
  <c r="S47" i="6"/>
  <c r="V47" i="6" s="1"/>
  <c r="X46" i="6"/>
  <c r="E46" i="6" s="1"/>
  <c r="T46" i="6"/>
  <c r="U48" i="6"/>
  <c r="M48" i="6" s="1"/>
  <c r="P48" i="6" s="1"/>
  <c r="W48" i="6" s="1"/>
  <c r="L49" i="6"/>
  <c r="O48" i="6"/>
  <c r="Q120" i="4" l="1"/>
  <c r="R121" i="4"/>
  <c r="T119" i="4"/>
  <c r="U120" i="4"/>
  <c r="W111" i="4"/>
  <c r="X112" i="4"/>
  <c r="T113" i="2"/>
  <c r="Q117" i="2"/>
  <c r="W108" i="2"/>
  <c r="T108" i="2"/>
  <c r="T47" i="6"/>
  <c r="X47" i="6"/>
  <c r="Y47" i="6" s="1"/>
  <c r="Y46" i="6"/>
  <c r="N48" i="6"/>
  <c r="Q48" i="6" s="1"/>
  <c r="S48" i="6"/>
  <c r="V48" i="6" s="1"/>
  <c r="X48" i="6" s="1"/>
  <c r="J48" i="6"/>
  <c r="K48" i="6" s="1"/>
  <c r="L92" i="6"/>
  <c r="R49" i="6"/>
  <c r="R92" i="6" s="1"/>
  <c r="L50" i="6"/>
  <c r="U49" i="6"/>
  <c r="L71" i="6"/>
  <c r="O49" i="6"/>
  <c r="O92" i="6" s="1"/>
  <c r="U121" i="4" l="1"/>
  <c r="T120" i="4"/>
  <c r="Q121" i="4"/>
  <c r="R122" i="4"/>
  <c r="X113" i="4"/>
  <c r="W112" i="4"/>
  <c r="W109" i="2"/>
  <c r="Q118" i="2"/>
  <c r="T114" i="2"/>
  <c r="T109" i="2"/>
  <c r="E47" i="6"/>
  <c r="E92" i="6" s="1"/>
  <c r="T48" i="6"/>
  <c r="L51" i="6"/>
  <c r="U50" i="6"/>
  <c r="M50" i="6" s="1"/>
  <c r="N50" i="6" s="1"/>
  <c r="O50" i="6"/>
  <c r="R50" i="6"/>
  <c r="L70" i="6"/>
  <c r="U71" i="6"/>
  <c r="M71" i="6" s="1"/>
  <c r="O71" i="6"/>
  <c r="R71" i="6"/>
  <c r="U92" i="6"/>
  <c r="M49" i="6"/>
  <c r="E48" i="6"/>
  <c r="Y48" i="6"/>
  <c r="Q122" i="4" l="1"/>
  <c r="R123" i="4"/>
  <c r="X114" i="4"/>
  <c r="W113" i="4"/>
  <c r="T121" i="4"/>
  <c r="U122" i="4"/>
  <c r="Q119" i="2"/>
  <c r="W110" i="2"/>
  <c r="T110" i="2"/>
  <c r="T111" i="2"/>
  <c r="T115" i="2"/>
  <c r="S71" i="6"/>
  <c r="V71" i="6" s="1"/>
  <c r="P71" i="6"/>
  <c r="W71" i="6" s="1"/>
  <c r="J71" i="6"/>
  <c r="K71" i="6" s="1"/>
  <c r="U70" i="6"/>
  <c r="M70" i="6" s="1"/>
  <c r="N70" i="6" s="1"/>
  <c r="R70" i="6"/>
  <c r="L69" i="6"/>
  <c r="O70" i="6"/>
  <c r="Q50" i="6"/>
  <c r="T50" i="6"/>
  <c r="J49" i="6"/>
  <c r="P49" i="6"/>
  <c r="M92" i="6"/>
  <c r="S49" i="6"/>
  <c r="N49" i="6"/>
  <c r="N71" i="6"/>
  <c r="J50" i="6"/>
  <c r="K50" i="6" s="1"/>
  <c r="P50" i="6"/>
  <c r="W50" i="6" s="1"/>
  <c r="S50" i="6"/>
  <c r="V50" i="6" s="1"/>
  <c r="L52" i="6"/>
  <c r="O51" i="6"/>
  <c r="U51" i="6"/>
  <c r="M51" i="6" s="1"/>
  <c r="R51" i="6"/>
  <c r="W114" i="4" l="1"/>
  <c r="X115" i="4"/>
  <c r="Q123" i="4"/>
  <c r="R124" i="4"/>
  <c r="T122" i="4"/>
  <c r="U123" i="4"/>
  <c r="T116" i="2"/>
  <c r="W111" i="2"/>
  <c r="Q120" i="2"/>
  <c r="X71" i="6"/>
  <c r="E71" i="6" s="1"/>
  <c r="N92" i="6"/>
  <c r="Q49" i="6"/>
  <c r="Q92" i="6" s="1"/>
  <c r="T49" i="6"/>
  <c r="T92" i="6" s="1"/>
  <c r="S92" i="6"/>
  <c r="V49" i="6"/>
  <c r="V92" i="6" s="1"/>
  <c r="L68" i="6"/>
  <c r="U69" i="6"/>
  <c r="M69" i="6" s="1"/>
  <c r="O69" i="6"/>
  <c r="R69" i="6"/>
  <c r="U52" i="6"/>
  <c r="M52" i="6" s="1"/>
  <c r="N52" i="6" s="1"/>
  <c r="L53" i="6"/>
  <c r="R52" i="6"/>
  <c r="O52" i="6"/>
  <c r="Q70" i="6"/>
  <c r="T70" i="6"/>
  <c r="P92" i="6"/>
  <c r="W49" i="6"/>
  <c r="J70" i="6"/>
  <c r="K70" i="6" s="1"/>
  <c r="P70" i="6"/>
  <c r="W70" i="6" s="1"/>
  <c r="S70" i="6"/>
  <c r="V70" i="6" s="1"/>
  <c r="X50" i="6"/>
  <c r="K49" i="6"/>
  <c r="K92" i="6" s="1"/>
  <c r="J92" i="6"/>
  <c r="P51" i="6"/>
  <c r="W51" i="6" s="1"/>
  <c r="J51" i="6"/>
  <c r="K51" i="6" s="1"/>
  <c r="S51" i="6"/>
  <c r="V51" i="6" s="1"/>
  <c r="N51" i="6"/>
  <c r="Q71" i="6"/>
  <c r="T71" i="6"/>
  <c r="Q124" i="4" l="1"/>
  <c r="R125" i="4"/>
  <c r="U124" i="4"/>
  <c r="T123" i="4"/>
  <c r="W115" i="4"/>
  <c r="X116" i="4"/>
  <c r="W112" i="2"/>
  <c r="Q121" i="2"/>
  <c r="T117" i="2"/>
  <c r="Y71" i="6"/>
  <c r="T52" i="6"/>
  <c r="Q52" i="6"/>
  <c r="P69" i="6"/>
  <c r="W69" i="6" s="1"/>
  <c r="S69" i="6"/>
  <c r="V69" i="6" s="1"/>
  <c r="J69" i="6"/>
  <c r="K69" i="6" s="1"/>
  <c r="E50" i="6"/>
  <c r="Y50" i="6"/>
  <c r="X70" i="6"/>
  <c r="R68" i="6"/>
  <c r="O68" i="6"/>
  <c r="L67" i="6"/>
  <c r="U68" i="6"/>
  <c r="M68" i="6" s="1"/>
  <c r="N68" i="6" s="1"/>
  <c r="T51" i="6"/>
  <c r="Q51" i="6"/>
  <c r="L54" i="6"/>
  <c r="O53" i="6"/>
  <c r="R53" i="6"/>
  <c r="U53" i="6"/>
  <c r="M53" i="6" s="1"/>
  <c r="W92" i="6"/>
  <c r="X49" i="6"/>
  <c r="S52" i="6"/>
  <c r="V52" i="6" s="1"/>
  <c r="P52" i="6"/>
  <c r="W52" i="6" s="1"/>
  <c r="J52" i="6"/>
  <c r="K52" i="6" s="1"/>
  <c r="X51" i="6"/>
  <c r="N69" i="6"/>
  <c r="U125" i="4" l="1"/>
  <c r="T124" i="4"/>
  <c r="Q125" i="4"/>
  <c r="R126" i="4"/>
  <c r="X117" i="4"/>
  <c r="W116" i="4"/>
  <c r="Q122" i="2"/>
  <c r="T118" i="2"/>
  <c r="W113" i="2"/>
  <c r="Q68" i="6"/>
  <c r="T68" i="6"/>
  <c r="Y70" i="6"/>
  <c r="E70" i="6"/>
  <c r="X52" i="6"/>
  <c r="X92" i="6"/>
  <c r="Y49" i="6"/>
  <c r="Y92" i="6" s="1"/>
  <c r="E49" i="6"/>
  <c r="P68" i="6"/>
  <c r="W68" i="6" s="1"/>
  <c r="S68" i="6"/>
  <c r="V68" i="6" s="1"/>
  <c r="J68" i="6"/>
  <c r="K68" i="6" s="1"/>
  <c r="N53" i="6"/>
  <c r="J53" i="6"/>
  <c r="K53" i="6" s="1"/>
  <c r="S53" i="6"/>
  <c r="V53" i="6" s="1"/>
  <c r="P53" i="6"/>
  <c r="W53" i="6" s="1"/>
  <c r="L66" i="6"/>
  <c r="O67" i="6"/>
  <c r="R67" i="6"/>
  <c r="U67" i="6"/>
  <c r="M67" i="6" s="1"/>
  <c r="X69" i="6"/>
  <c r="L55" i="6"/>
  <c r="O54" i="6"/>
  <c r="R54" i="6"/>
  <c r="U54" i="6"/>
  <c r="M54" i="6" s="1"/>
  <c r="Q69" i="6"/>
  <c r="T69" i="6"/>
  <c r="Y51" i="6"/>
  <c r="E51" i="6"/>
  <c r="R127" i="4" l="1"/>
  <c r="Q126" i="4"/>
  <c r="X118" i="4"/>
  <c r="W117" i="4"/>
  <c r="T125" i="4"/>
  <c r="U126" i="4"/>
  <c r="W114" i="2"/>
  <c r="T119" i="2"/>
  <c r="Q123" i="2"/>
  <c r="X53" i="6"/>
  <c r="E53" i="6" s="1"/>
  <c r="N54" i="6"/>
  <c r="P54" i="6"/>
  <c r="W54" i="6" s="1"/>
  <c r="S54" i="6"/>
  <c r="V54" i="6" s="1"/>
  <c r="J54" i="6"/>
  <c r="K54" i="6" s="1"/>
  <c r="L65" i="6"/>
  <c r="U66" i="6"/>
  <c r="M66" i="6" s="1"/>
  <c r="N66" i="6" s="1"/>
  <c r="O66" i="6"/>
  <c r="R66" i="6"/>
  <c r="Y52" i="6"/>
  <c r="E52" i="6"/>
  <c r="E69" i="6"/>
  <c r="Y69" i="6"/>
  <c r="Q53" i="6"/>
  <c r="T53" i="6"/>
  <c r="L56" i="6"/>
  <c r="O55" i="6"/>
  <c r="R55" i="6"/>
  <c r="U55" i="6"/>
  <c r="M55" i="6" s="1"/>
  <c r="N55" i="6" s="1"/>
  <c r="N67" i="6"/>
  <c r="S67" i="6"/>
  <c r="V67" i="6" s="1"/>
  <c r="J67" i="6"/>
  <c r="K67" i="6" s="1"/>
  <c r="P67" i="6"/>
  <c r="W67" i="6" s="1"/>
  <c r="X68" i="6"/>
  <c r="X119" i="4" l="1"/>
  <c r="W118" i="4"/>
  <c r="T126" i="4"/>
  <c r="U127" i="4"/>
  <c r="R128" i="4"/>
  <c r="Q127" i="4"/>
  <c r="Q124" i="2"/>
  <c r="T120" i="2"/>
  <c r="W115" i="2"/>
  <c r="Y53" i="6"/>
  <c r="Q66" i="6"/>
  <c r="T66" i="6"/>
  <c r="Q67" i="6"/>
  <c r="T67" i="6"/>
  <c r="J66" i="6"/>
  <c r="K66" i="6" s="1"/>
  <c r="P66" i="6"/>
  <c r="W66" i="6" s="1"/>
  <c r="S66" i="6"/>
  <c r="V66" i="6" s="1"/>
  <c r="P55" i="6"/>
  <c r="W55" i="6" s="1"/>
  <c r="S55" i="6"/>
  <c r="V55" i="6" s="1"/>
  <c r="J55" i="6"/>
  <c r="K55" i="6" s="1"/>
  <c r="R65" i="6"/>
  <c r="O65" i="6"/>
  <c r="U65" i="6"/>
  <c r="M65" i="6" s="1"/>
  <c r="N65" i="6" s="1"/>
  <c r="L64" i="6"/>
  <c r="Y68" i="6"/>
  <c r="E68" i="6"/>
  <c r="X67" i="6"/>
  <c r="U56" i="6"/>
  <c r="M56" i="6" s="1"/>
  <c r="N56" i="6" s="1"/>
  <c r="O56" i="6"/>
  <c r="R56" i="6"/>
  <c r="X54" i="6"/>
  <c r="Q55" i="6"/>
  <c r="T55" i="6"/>
  <c r="T54" i="6"/>
  <c r="Q54" i="6"/>
  <c r="U128" i="4" l="1"/>
  <c r="T127" i="4"/>
  <c r="Q128" i="4"/>
  <c r="R129" i="4"/>
  <c r="W119" i="4"/>
  <c r="X120" i="4"/>
  <c r="T121" i="2"/>
  <c r="W116" i="2"/>
  <c r="Q125" i="2"/>
  <c r="Q65" i="6"/>
  <c r="T65" i="6"/>
  <c r="E54" i="6"/>
  <c r="Y54" i="6"/>
  <c r="O64" i="6"/>
  <c r="R64" i="6"/>
  <c r="U64" i="6"/>
  <c r="M64" i="6" s="1"/>
  <c r="L63" i="6"/>
  <c r="X66" i="6"/>
  <c r="T56" i="6"/>
  <c r="Q56" i="6"/>
  <c r="J56" i="6"/>
  <c r="K56" i="6" s="1"/>
  <c r="P56" i="6"/>
  <c r="W56" i="6" s="1"/>
  <c r="S56" i="6"/>
  <c r="V56" i="6" s="1"/>
  <c r="J65" i="6"/>
  <c r="K65" i="6" s="1"/>
  <c r="S65" i="6"/>
  <c r="V65" i="6" s="1"/>
  <c r="P65" i="6"/>
  <c r="W65" i="6" s="1"/>
  <c r="Y67" i="6"/>
  <c r="E67" i="6"/>
  <c r="X55" i="6"/>
  <c r="Q129" i="4" l="1"/>
  <c r="R130" i="4"/>
  <c r="X121" i="4"/>
  <c r="W120" i="4"/>
  <c r="T128" i="4"/>
  <c r="U129" i="4"/>
  <c r="W117" i="2"/>
  <c r="Q126" i="2"/>
  <c r="T122" i="2"/>
  <c r="X65" i="6"/>
  <c r="E65" i="6" s="1"/>
  <c r="N64" i="6"/>
  <c r="S64" i="6"/>
  <c r="V64" i="6" s="1"/>
  <c r="P64" i="6"/>
  <c r="W64" i="6" s="1"/>
  <c r="J64" i="6"/>
  <c r="K64" i="6" s="1"/>
  <c r="U63" i="6"/>
  <c r="M63" i="6" s="1"/>
  <c r="L62" i="6"/>
  <c r="O63" i="6"/>
  <c r="R63" i="6"/>
  <c r="X56" i="6"/>
  <c r="Y55" i="6"/>
  <c r="E55" i="6"/>
  <c r="E66" i="6"/>
  <c r="Y66" i="6"/>
  <c r="X122" i="4" l="1"/>
  <c r="W121" i="4"/>
  <c r="R131" i="4"/>
  <c r="Q131" i="4" s="1"/>
  <c r="Q130" i="4"/>
  <c r="T129" i="4"/>
  <c r="U130" i="4"/>
  <c r="Q127" i="2"/>
  <c r="W118" i="2"/>
  <c r="T123" i="2"/>
  <c r="Y65" i="6"/>
  <c r="L61" i="6"/>
  <c r="O62" i="6"/>
  <c r="U62" i="6"/>
  <c r="M62" i="6" s="1"/>
  <c r="N62" i="6" s="1"/>
  <c r="R62" i="6"/>
  <c r="S63" i="6"/>
  <c r="S58" i="6" s="1"/>
  <c r="P63" i="6"/>
  <c r="J63" i="6"/>
  <c r="K63" i="6" s="1"/>
  <c r="X64" i="6"/>
  <c r="Y56" i="6"/>
  <c r="E56" i="6"/>
  <c r="N63" i="6"/>
  <c r="Q64" i="6"/>
  <c r="T64" i="6"/>
  <c r="U131" i="4" l="1"/>
  <c r="T131" i="4" s="1"/>
  <c r="T130" i="4"/>
  <c r="X123" i="4"/>
  <c r="W122" i="4"/>
  <c r="T124" i="2"/>
  <c r="W119" i="2"/>
  <c r="Q128" i="2"/>
  <c r="T62" i="6"/>
  <c r="Q62" i="6"/>
  <c r="P58" i="6"/>
  <c r="W63" i="6"/>
  <c r="T63" i="6"/>
  <c r="Q63" i="6"/>
  <c r="P62" i="6"/>
  <c r="W62" i="6" s="1"/>
  <c r="S62" i="6"/>
  <c r="V62" i="6" s="1"/>
  <c r="J62" i="6"/>
  <c r="K62" i="6" s="1"/>
  <c r="E64" i="6"/>
  <c r="Y64" i="6"/>
  <c r="V63" i="6"/>
  <c r="L60" i="6"/>
  <c r="R61" i="6"/>
  <c r="U61" i="6"/>
  <c r="M61" i="6" s="1"/>
  <c r="O61" i="6"/>
  <c r="W123" i="4" l="1"/>
  <c r="X124" i="4"/>
  <c r="Q129" i="2"/>
  <c r="W120" i="2"/>
  <c r="T125" i="2"/>
  <c r="S61" i="6"/>
  <c r="V61" i="6" s="1"/>
  <c r="J61" i="6"/>
  <c r="K61" i="6" s="1"/>
  <c r="P61" i="6"/>
  <c r="W61" i="6" s="1"/>
  <c r="X62" i="6"/>
  <c r="U60" i="6"/>
  <c r="M60" i="6" s="1"/>
  <c r="N60" i="6" s="1"/>
  <c r="R60" i="6"/>
  <c r="O60" i="6"/>
  <c r="X63" i="6"/>
  <c r="N61" i="6"/>
  <c r="X125" i="4" l="1"/>
  <c r="W124" i="4"/>
  <c r="T126" i="2"/>
  <c r="W121" i="2"/>
  <c r="Q130" i="2"/>
  <c r="Q131" i="2"/>
  <c r="X61" i="6"/>
  <c r="E61" i="6" s="1"/>
  <c r="Q60" i="6"/>
  <c r="T60" i="6"/>
  <c r="P60" i="6"/>
  <c r="W60" i="6" s="1"/>
  <c r="S60" i="6"/>
  <c r="V60" i="6" s="1"/>
  <c r="J60" i="6"/>
  <c r="K60" i="6" s="1"/>
  <c r="T61" i="6"/>
  <c r="Q61" i="6"/>
  <c r="E62" i="6"/>
  <c r="Y62" i="6"/>
  <c r="E63" i="6"/>
  <c r="Y63" i="6"/>
  <c r="X126" i="4" l="1"/>
  <c r="W125" i="4"/>
  <c r="W122" i="2"/>
  <c r="T127" i="2"/>
  <c r="Y61" i="6"/>
  <c r="X60" i="6"/>
  <c r="W126" i="4" l="1"/>
  <c r="X127" i="4"/>
  <c r="T128" i="2"/>
  <c r="W123" i="2"/>
  <c r="Y60" i="6"/>
  <c r="E60" i="6"/>
  <c r="X128" i="4" l="1"/>
  <c r="W127" i="4"/>
  <c r="W124" i="2"/>
  <c r="T129" i="2"/>
  <c r="W128" i="4" l="1"/>
  <c r="X129" i="4"/>
  <c r="W125" i="2"/>
  <c r="T131" i="2"/>
  <c r="T130" i="2"/>
  <c r="W129" i="4" l="1"/>
  <c r="X130" i="4"/>
  <c r="W126" i="2"/>
  <c r="X131" i="4" l="1"/>
  <c r="W131" i="4" s="1"/>
  <c r="W130" i="4"/>
  <c r="W127" i="2"/>
  <c r="W128" i="2" l="1"/>
  <c r="W129" i="2" l="1"/>
  <c r="W131" i="2" l="1"/>
  <c r="W13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jordi trullén</author>
  </authors>
  <commentList>
    <comment ref="E21" authorId="0" shapeId="0" xr:uid="{00000000-0006-0000-0100-000001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F21" authorId="0" shapeId="0" xr:uid="{00000000-0006-0000-0100-000002000000}">
      <text>
        <r>
          <rPr>
            <sz val="14"/>
            <color indexed="81"/>
            <rFont val="Arial Narrow"/>
            <family val="2"/>
          </rPr>
          <t>La</t>
        </r>
        <r>
          <rPr>
            <b/>
            <sz val="14"/>
            <color indexed="81"/>
            <rFont val="Arial Narrow"/>
            <family val="2"/>
          </rPr>
          <t xml:space="preserve"> 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L21" authorId="0" shapeId="0" xr:uid="{00000000-0006-0000-0100-000003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 xml:space="preserve"> value fix the speed limits of the motor for a given power or torque.
</t>
        </r>
      </text>
    </comment>
    <comment ref="M21" authorId="0" shapeId="0" xr:uid="{00000000-0006-0000-0100-000004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Max. Inverter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>value fix the speed limits of the motor for a given power or torque.</t>
        </r>
      </text>
    </comment>
    <comment ref="E81" authorId="0" shapeId="0" xr:uid="{00000000-0006-0000-0100-000005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L81" authorId="0" shapeId="0" xr:uid="{00000000-0006-0000-0100-000006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 xml:space="preserve"> value fix the speed limits of the motor for a given power or torque.
</t>
        </r>
      </text>
    </comment>
    <comment ref="A89" authorId="0" shapeId="0" xr:uid="{00000000-0006-0000-0100-000007000000}">
      <text>
        <r>
          <rPr>
            <sz val="12"/>
            <color indexed="81"/>
            <rFont val="Tahoma"/>
            <family val="2"/>
          </rPr>
          <t xml:space="preserve">Introducir en la tabla los datos de la aplicación para que aparezcan en el gráfico.
</t>
        </r>
        <r>
          <rPr>
            <i/>
            <sz val="12"/>
            <color indexed="81"/>
            <rFont val="Tahoma"/>
            <family val="2"/>
          </rPr>
          <t>Insert in the table the load data in order to be shown on the diagram.</t>
        </r>
      </text>
    </comment>
    <comment ref="A91" authorId="0" shapeId="0" xr:uid="{00000000-0006-0000-0100-000008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B91" authorId="0" shapeId="0" xr:uid="{00000000-0006-0000-0100-000009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C91" authorId="0" shapeId="0" xr:uid="{00000000-0006-0000-0100-00000A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A113" authorId="0" shapeId="0" xr:uid="{00000000-0006-0000-0100-00000B000000}">
      <text>
        <r>
          <rPr>
            <sz val="12"/>
            <color indexed="81"/>
            <rFont val="Tahoma"/>
            <family val="2"/>
          </rPr>
          <t xml:space="preserve">Introducir en la tabla los datos de la aplicación para que aparezcan en el gráfico.
</t>
        </r>
        <r>
          <rPr>
            <i/>
            <sz val="12"/>
            <color indexed="81"/>
            <rFont val="Tahoma"/>
            <family val="2"/>
          </rPr>
          <t>Insert in the table the load data in order to be shown on the diagram.</t>
        </r>
      </text>
    </comment>
    <comment ref="A115" authorId="0" shapeId="0" xr:uid="{00000000-0006-0000-0100-00000C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B115" authorId="0" shapeId="0" xr:uid="{00000000-0006-0000-0100-00000D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C115" authorId="0" shapeId="0" xr:uid="{00000000-0006-0000-0100-00000E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jordi trullén</author>
  </authors>
  <commentList>
    <comment ref="E21" authorId="0" shapeId="0" xr:uid="{00000000-0006-0000-0300-000001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F21" authorId="0" shapeId="0" xr:uid="{00000000-0006-0000-0300-000002000000}">
      <text>
        <r>
          <rPr>
            <sz val="14"/>
            <color indexed="81"/>
            <rFont val="Arial Narrow"/>
            <family val="2"/>
          </rPr>
          <t>La</t>
        </r>
        <r>
          <rPr>
            <b/>
            <sz val="14"/>
            <color indexed="81"/>
            <rFont val="Arial Narrow"/>
            <family val="2"/>
          </rPr>
          <t xml:space="preserve"> 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L21" authorId="0" shapeId="0" xr:uid="{00000000-0006-0000-0300-000003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 xml:space="preserve"> value fix the speed limits of the motor for a given power or torque.
</t>
        </r>
      </text>
    </comment>
    <comment ref="M21" authorId="0" shapeId="0" xr:uid="{00000000-0006-0000-0300-000004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Max. Inverter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>value fix the speed limits of the motor for a given power or torque.</t>
        </r>
      </text>
    </comment>
    <comment ref="E81" authorId="0" shapeId="0" xr:uid="{00000000-0006-0000-0300-000005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L81" authorId="0" shapeId="0" xr:uid="{00000000-0006-0000-0300-000006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 xml:space="preserve"> value fix the speed limits of the motor for a given power or torque.
</t>
        </r>
      </text>
    </comment>
    <comment ref="A89" authorId="0" shapeId="0" xr:uid="{00000000-0006-0000-0300-000007000000}">
      <text>
        <r>
          <rPr>
            <sz val="12"/>
            <color indexed="81"/>
            <rFont val="Tahoma"/>
            <family val="2"/>
          </rPr>
          <t xml:space="preserve">Introducir en la tabla los datos de la aplicación para que aparezcan en el gráfico.
</t>
        </r>
        <r>
          <rPr>
            <i/>
            <sz val="12"/>
            <color indexed="81"/>
            <rFont val="Tahoma"/>
            <family val="2"/>
          </rPr>
          <t>Insert in the table the load data in order to be shown on the diagram.</t>
        </r>
      </text>
    </comment>
    <comment ref="A91" authorId="0" shapeId="0" xr:uid="{00000000-0006-0000-0300-000008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B91" authorId="0" shapeId="0" xr:uid="{00000000-0006-0000-0300-000009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C91" authorId="0" shapeId="0" xr:uid="{00000000-0006-0000-0300-00000A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A113" authorId="0" shapeId="0" xr:uid="{00000000-0006-0000-0300-00000B000000}">
      <text>
        <r>
          <rPr>
            <sz val="12"/>
            <color indexed="81"/>
            <rFont val="Tahoma"/>
            <family val="2"/>
          </rPr>
          <t xml:space="preserve">Introducir en la tabla los datos de la aplicación para que aparezcan en el gráfico.
</t>
        </r>
        <r>
          <rPr>
            <i/>
            <sz val="12"/>
            <color indexed="81"/>
            <rFont val="Tahoma"/>
            <family val="2"/>
          </rPr>
          <t>Insert in the table the load data in order to be shown on the diagram.</t>
        </r>
      </text>
    </comment>
    <comment ref="A115" authorId="0" shapeId="0" xr:uid="{00000000-0006-0000-0300-00000C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B115" authorId="0" shapeId="0" xr:uid="{00000000-0006-0000-0300-00000D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C115" authorId="0" shapeId="0" xr:uid="{00000000-0006-0000-0300-00000E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</commentList>
</comments>
</file>

<file path=xl/sharedStrings.xml><?xml version="1.0" encoding="utf-8"?>
<sst xmlns="http://schemas.openxmlformats.org/spreadsheetml/2006/main" count="684" uniqueCount="268">
  <si>
    <t>Codi</t>
  </si>
  <si>
    <t>Edició</t>
  </si>
  <si>
    <t xml:space="preserve"> - Fitxa Tècnica -</t>
  </si>
  <si>
    <t>Pàgina</t>
  </si>
  <si>
    <t>1 de 2</t>
  </si>
  <si>
    <t>Data</t>
  </si>
  <si>
    <t>Pols</t>
  </si>
  <si>
    <t>Codigo</t>
  </si>
  <si>
    <t>Edición</t>
  </si>
  <si>
    <t xml:space="preserve"> - Hoja de Datos Técnicos Modo Motor -</t>
  </si>
  <si>
    <t>Página</t>
  </si>
  <si>
    <t>1 de 3</t>
  </si>
  <si>
    <t xml:space="preserve"> - Driving mode Technical Datasheet -</t>
  </si>
  <si>
    <t>Fecha</t>
  </si>
  <si>
    <t>Ventilador / Fan</t>
  </si>
  <si>
    <t xml:space="preserve">Rodamientos     </t>
  </si>
  <si>
    <t>Delantero</t>
  </si>
  <si>
    <t>Tipo de Refrigeración</t>
  </si>
  <si>
    <t>IC 06</t>
  </si>
  <si>
    <t>Bearings</t>
  </si>
  <si>
    <t>Drive End</t>
  </si>
  <si>
    <t>Cooling Mode</t>
  </si>
  <si>
    <t>Nº de polos</t>
  </si>
  <si>
    <t>Momento de inercia</t>
  </si>
  <si>
    <t>Peso Motor</t>
  </si>
  <si>
    <r>
      <t xml:space="preserve">Alimentación / </t>
    </r>
    <r>
      <rPr>
        <i/>
        <sz val="12"/>
        <rFont val="Arial Narrow"/>
        <family val="2"/>
      </rPr>
      <t>Supply</t>
    </r>
  </si>
  <si>
    <t>No of poles</t>
  </si>
  <si>
    <t>Rotor Inertia</t>
  </si>
  <si>
    <t>Motor Weight</t>
  </si>
  <si>
    <r>
      <t xml:space="preserve">Potencia / </t>
    </r>
    <r>
      <rPr>
        <i/>
        <sz val="12"/>
        <rFont val="Arial Narrow"/>
        <family val="2"/>
      </rPr>
      <t>Power</t>
    </r>
  </si>
  <si>
    <t>Protección</t>
  </si>
  <si>
    <t>Construcción</t>
  </si>
  <si>
    <t>IM B3</t>
  </si>
  <si>
    <t>standard</t>
  </si>
  <si>
    <t>Equilibrado grado</t>
  </si>
  <si>
    <t>A</t>
  </si>
  <si>
    <r>
      <t xml:space="preserve">Corriente / </t>
    </r>
    <r>
      <rPr>
        <i/>
        <sz val="12"/>
        <rFont val="Arial Narrow"/>
        <family val="2"/>
      </rPr>
      <t>Current</t>
    </r>
  </si>
  <si>
    <t>Protection Degree</t>
  </si>
  <si>
    <t>Mounting</t>
  </si>
  <si>
    <t>IM B35</t>
  </si>
  <si>
    <t>on request</t>
  </si>
  <si>
    <t>Balancing degree</t>
  </si>
  <si>
    <r>
      <t xml:space="preserve">Velocidad / </t>
    </r>
    <r>
      <rPr>
        <i/>
        <sz val="12"/>
        <rFont val="Arial Narrow"/>
        <family val="2"/>
      </rPr>
      <t>Speed</t>
    </r>
  </si>
  <si>
    <t xml:space="preserve">Nivel de ruido </t>
  </si>
  <si>
    <t>Velocidad máxima mecánica</t>
  </si>
  <si>
    <r>
      <t xml:space="preserve">Caudal / </t>
    </r>
    <r>
      <rPr>
        <i/>
        <sz val="12"/>
        <rFont val="Arial Narrow"/>
        <family val="2"/>
      </rPr>
      <t>Air flow</t>
    </r>
  </si>
  <si>
    <t xml:space="preserve">Noise Level </t>
  </si>
  <si>
    <r>
      <t>Max. Mechanical Speed</t>
    </r>
    <r>
      <rPr>
        <sz val="10"/>
        <rFont val="Arial"/>
        <family val="2"/>
      </rPr>
      <t/>
    </r>
  </si>
  <si>
    <r>
      <t xml:space="preserve">Presión / </t>
    </r>
    <r>
      <rPr>
        <i/>
        <sz val="12"/>
        <rFont val="Arial Narrow"/>
        <family val="2"/>
      </rPr>
      <t>Pressure</t>
    </r>
  </si>
  <si>
    <t>Aislamiento</t>
  </si>
  <si>
    <t>Cl. H</t>
  </si>
  <si>
    <t xml:space="preserve">Incremento Temperatura </t>
  </si>
  <si>
    <t>Cl. F</t>
  </si>
  <si>
    <t>Termistores</t>
  </si>
  <si>
    <t>Termómetros</t>
  </si>
  <si>
    <t>3xPt100</t>
  </si>
  <si>
    <r>
      <t xml:space="preserve">Por favor, indicar en los pedidos la alimentación deseada para el ventilador / </t>
    </r>
    <r>
      <rPr>
        <i/>
        <sz val="10.5"/>
        <rFont val="Arial Narrow"/>
        <family val="2"/>
      </rPr>
      <t>Please indicate the required fan supply voltage when placing your order</t>
    </r>
  </si>
  <si>
    <t>Insulation</t>
  </si>
  <si>
    <t>Temperature Rise</t>
  </si>
  <si>
    <t>Thermistors</t>
  </si>
  <si>
    <t>Thermometers</t>
  </si>
  <si>
    <t>Ambiente</t>
  </si>
  <si>
    <t>&lt; 40 ºC  &lt; 1000 m</t>
  </si>
  <si>
    <t>Conmutación Variador</t>
  </si>
  <si>
    <t>Ambient</t>
  </si>
  <si>
    <t>Inverter Switching</t>
  </si>
  <si>
    <t>Normas de referencia</t>
  </si>
  <si>
    <t>EN60034</t>
  </si>
  <si>
    <t>Reference Standards</t>
  </si>
  <si>
    <t xml:space="preserve">Tensión de Base del Motor </t>
  </si>
  <si>
    <t>Vb ± 5%</t>
  </si>
  <si>
    <t>Tensión Máxima de Salida del Convertidor</t>
  </si>
  <si>
    <t>Vc</t>
  </si>
  <si>
    <t>Motor Base Voltage</t>
  </si>
  <si>
    <t>Inverter max. Output Voltage</t>
  </si>
  <si>
    <t>Servicio / Service</t>
  </si>
  <si>
    <t>S1</t>
  </si>
  <si>
    <t>Servicio / Service  S6 -</t>
  </si>
  <si>
    <t>Bobinado          Winding</t>
  </si>
  <si>
    <t>Nm</t>
  </si>
  <si>
    <t>A ± 2%</t>
  </si>
  <si>
    <t>KW</t>
  </si>
  <si>
    <t>rpm</t>
  </si>
  <si>
    <t>Hz</t>
  </si>
  <si>
    <t>Velocidad a Pot.Cte Const. Power Speed. (rpm)</t>
  </si>
  <si>
    <t>A ± 5%</t>
  </si>
  <si>
    <t>Corriente en vacio       No Load Current          (A)</t>
  </si>
  <si>
    <t>eff</t>
  </si>
  <si>
    <t>cos fi</t>
  </si>
  <si>
    <t>rpm llisc.</t>
  </si>
  <si>
    <t>Nm S6</t>
  </si>
  <si>
    <t>A S6</t>
  </si>
  <si>
    <t>Alim</t>
  </si>
  <si>
    <t>Nm lim</t>
  </si>
  <si>
    <t>rpm lim</t>
  </si>
  <si>
    <t>KW lim</t>
  </si>
  <si>
    <t>rpm lim KW s6</t>
  </si>
  <si>
    <t>rpm lim Nm s6</t>
  </si>
  <si>
    <t>rpm lim s1</t>
  </si>
  <si>
    <r>
      <t xml:space="preserve">Otras Velocidades disponibles bajo consulta / </t>
    </r>
    <r>
      <rPr>
        <i/>
        <sz val="11"/>
        <rFont val="Arial Narrow"/>
        <family val="2"/>
      </rPr>
      <t>Other speeds available on request</t>
    </r>
  </si>
  <si>
    <r>
      <t xml:space="preserve">La tensión para el servicio S6 es mayor que Vb / </t>
    </r>
    <r>
      <rPr>
        <i/>
        <sz val="11"/>
        <rFont val="Arial Narrow"/>
        <family val="2"/>
      </rPr>
      <t>Voltage for S6 duty is bigger than Vb</t>
    </r>
  </si>
  <si>
    <t>Elabora:</t>
  </si>
  <si>
    <t>Revisa:</t>
  </si>
  <si>
    <t>Aprueba:</t>
  </si>
  <si>
    <t xml:space="preserve"> - Hoja de Curvas Características Modo Motor -</t>
  </si>
  <si>
    <t xml:space="preserve">Página </t>
  </si>
  <si>
    <t>2 de 3</t>
  </si>
  <si>
    <t xml:space="preserve"> - Driving Mode Power and Torque Diagrams -</t>
  </si>
  <si>
    <t>Carga / Load</t>
  </si>
  <si>
    <t>Nm 1</t>
  </si>
  <si>
    <t>Nm 2</t>
  </si>
  <si>
    <t>rpm S1</t>
  </si>
  <si>
    <t>Nm S1</t>
  </si>
  <si>
    <t>rpm S6</t>
  </si>
  <si>
    <t>kW S6</t>
  </si>
  <si>
    <t>rpm limit</t>
  </si>
  <si>
    <t>KW limit</t>
  </si>
  <si>
    <t>Nm Limit</t>
  </si>
  <si>
    <t>KW 1</t>
  </si>
  <si>
    <t>KW 2</t>
  </si>
  <si>
    <t xml:space="preserve"> - Placa de Características en Modo Motor-</t>
  </si>
  <si>
    <t>3 de 3</t>
  </si>
  <si>
    <t xml:space="preserve"> - Driving Mode Nameplate -</t>
  </si>
  <si>
    <t>Pole</t>
  </si>
  <si>
    <t>Nr:</t>
  </si>
  <si>
    <t>DATE</t>
  </si>
  <si>
    <t>Pn</t>
  </si>
  <si>
    <t>kW</t>
  </si>
  <si>
    <t>Mn</t>
  </si>
  <si>
    <t>Un</t>
  </si>
  <si>
    <t>V</t>
  </si>
  <si>
    <t>Fn</t>
  </si>
  <si>
    <t>In</t>
  </si>
  <si>
    <t>Cos fi</t>
  </si>
  <si>
    <t>Eff.</t>
  </si>
  <si>
    <t>Nn</t>
  </si>
  <si>
    <t>Nmax</t>
  </si>
  <si>
    <t>FAN</t>
  </si>
  <si>
    <t>v</t>
  </si>
  <si>
    <r>
      <rPr>
        <sz val="20"/>
        <color indexed="9"/>
        <rFont val="Calibri"/>
        <family val="2"/>
      </rPr>
      <t xml:space="preserve">A </t>
    </r>
    <r>
      <rPr>
        <sz val="12"/>
        <color indexed="9"/>
        <rFont val="Calibri"/>
        <family val="2"/>
      </rPr>
      <t>50/60Hz</t>
    </r>
  </si>
  <si>
    <t>BRAKE</t>
  </si>
  <si>
    <t>Vdc</t>
  </si>
  <si>
    <t>MADE IN SPAIN</t>
  </si>
  <si>
    <r>
      <t xml:space="preserve">Parámetros modo motor / </t>
    </r>
    <r>
      <rPr>
        <b/>
        <i/>
        <sz val="14"/>
        <rFont val="Arial Narrow"/>
        <family val="2"/>
      </rPr>
      <t>Driving mode parameters</t>
    </r>
  </si>
  <si>
    <t>Fecha - Date</t>
  </si>
  <si>
    <t>Poles</t>
  </si>
  <si>
    <t>Rend / eff.</t>
  </si>
  <si>
    <t>J (Kg m2)</t>
  </si>
  <si>
    <t>Rs (mOhm)</t>
  </si>
  <si>
    <t>Rr (mOhm)</t>
  </si>
  <si>
    <t>Rfe (Ohm)</t>
  </si>
  <si>
    <t>Ls (mH)</t>
  </si>
  <si>
    <t>Lr (mH)</t>
  </si>
  <si>
    <t>Lm (mH)</t>
  </si>
  <si>
    <t>Ts (s)</t>
  </si>
  <si>
    <t>Tr (s)</t>
  </si>
  <si>
    <t>Kt</t>
  </si>
  <si>
    <t>Im (A/fase)</t>
  </si>
  <si>
    <t>s rpm</t>
  </si>
  <si>
    <t>MODO GENERADOR a fnom</t>
  </si>
  <si>
    <t>E</t>
  </si>
  <si>
    <t>urq</t>
  </si>
  <si>
    <t>urd</t>
  </si>
  <si>
    <t>exd</t>
  </si>
  <si>
    <t>exq</t>
  </si>
  <si>
    <t>Vq</t>
  </si>
  <si>
    <t>Vd</t>
  </si>
  <si>
    <t>Correcció a</t>
  </si>
  <si>
    <t>Hz gen</t>
  </si>
  <si>
    <t>Hz gen adoptat</t>
  </si>
  <si>
    <t>rpm gen</t>
  </si>
  <si>
    <t>Nm gen</t>
  </si>
  <si>
    <t>KW abs</t>
  </si>
  <si>
    <t>KW perd.</t>
  </si>
  <si>
    <t>KW out</t>
  </si>
  <si>
    <t>eff gen.</t>
  </si>
  <si>
    <t>Cos fi gen</t>
  </si>
  <si>
    <t xml:space="preserve"> - Hoja de Datos Técnicos Modo Generador -</t>
  </si>
  <si>
    <t xml:space="preserve"> - Absorbing Mode Technical Datasheet -</t>
  </si>
  <si>
    <t xml:space="preserve"> - Hoja de Curvas Características Modo Generador-</t>
  </si>
  <si>
    <t xml:space="preserve"> - Absorbing Mode Power and Torque Diagrams -</t>
  </si>
  <si>
    <t>abs.</t>
  </si>
  <si>
    <r>
      <t>Parámetros modo generador /</t>
    </r>
    <r>
      <rPr>
        <b/>
        <i/>
        <sz val="14"/>
        <rFont val="Arial Narrow"/>
        <family val="2"/>
      </rPr>
      <t xml:space="preserve"> Absorbing mode parameters</t>
    </r>
  </si>
  <si>
    <t>ESQUEMA EQUIVALENTE POR FASE EN ESTRELLA / PHASE STAR EQUIVALENT SCHEMA</t>
  </si>
  <si>
    <t>L/min</t>
  </si>
  <si>
    <t>Corba parell-velocitat a Nnom</t>
  </si>
  <si>
    <t>diagrama vectorial</t>
  </si>
  <si>
    <t>V/f</t>
  </si>
  <si>
    <t>f</t>
  </si>
  <si>
    <t>s pu</t>
  </si>
  <si>
    <t>Kweix</t>
  </si>
  <si>
    <t>Meix</t>
  </si>
  <si>
    <t>Im</t>
  </si>
  <si>
    <t>Ir</t>
  </si>
  <si>
    <t>is</t>
  </si>
  <si>
    <t>Rs Im</t>
  </si>
  <si>
    <t>Rs Ir</t>
  </si>
  <si>
    <t>Rs Is</t>
  </si>
  <si>
    <t>w Ls Im</t>
  </si>
  <si>
    <t>w Ls Ir</t>
  </si>
  <si>
    <t>w Ls Is</t>
  </si>
  <si>
    <t>Vs (m)</t>
  </si>
  <si>
    <t xml:space="preserve">Vs (r) </t>
  </si>
  <si>
    <t>Vs</t>
  </si>
  <si>
    <t>Vs (f-f)</t>
  </si>
  <si>
    <t>eix m</t>
  </si>
  <si>
    <t>eix r</t>
  </si>
  <si>
    <t>Nominal</t>
  </si>
  <si>
    <t>Rs im</t>
  </si>
  <si>
    <t>wLs Ir</t>
  </si>
  <si>
    <t>wLs Im</t>
  </si>
  <si>
    <t>concentrada a l'estator</t>
  </si>
  <si>
    <t>maxim</t>
  </si>
  <si>
    <t>Limit 480V</t>
  </si>
  <si>
    <t>Ir (A)</t>
  </si>
  <si>
    <t>s Hz</t>
  </si>
  <si>
    <t>limit PC</t>
  </si>
  <si>
    <t>Corba parell-velocitat a N1</t>
  </si>
  <si>
    <t>corba a pnom</t>
  </si>
  <si>
    <t>,</t>
  </si>
  <si>
    <t xml:space="preserve"> - Placa de Características en Modo Generador-</t>
  </si>
  <si>
    <t xml:space="preserve"> - Absorbing Mode Nameplate -</t>
  </si>
  <si>
    <t>Trasero</t>
  </si>
  <si>
    <t>Non Drive End</t>
  </si>
  <si>
    <t xml:space="preserve">Nnom x </t>
  </si>
  <si>
    <t>Speed range</t>
  </si>
  <si>
    <t>Bobinado           Winding</t>
  </si>
  <si>
    <t>coef.</t>
  </si>
  <si>
    <t>KW eix</t>
  </si>
  <si>
    <t>Coef</t>
  </si>
  <si>
    <t>coef</t>
  </si>
  <si>
    <t>MAC QI 315 L</t>
  </si>
  <si>
    <t>A61</t>
  </si>
  <si>
    <t>B61</t>
  </si>
  <si>
    <t>C61</t>
  </si>
  <si>
    <t>D61</t>
  </si>
  <si>
    <t>E61</t>
  </si>
  <si>
    <t>F61</t>
  </si>
  <si>
    <t>C62</t>
  </si>
  <si>
    <t>D62</t>
  </si>
  <si>
    <t>E62</t>
  </si>
  <si>
    <t>F62</t>
  </si>
  <si>
    <t>DT-QT 315 L</t>
  </si>
  <si>
    <t>08</t>
  </si>
  <si>
    <t xml:space="preserve">   400V 50Hz</t>
  </si>
  <si>
    <t xml:space="preserve">   480V 60Hz</t>
  </si>
  <si>
    <t>4 KW</t>
  </si>
  <si>
    <t>7,4 A</t>
  </si>
  <si>
    <t>2925rpm</t>
  </si>
  <si>
    <t>3500rpm</t>
  </si>
  <si>
    <t xml:space="preserve">4000 m3/h </t>
  </si>
  <si>
    <t xml:space="preserve">2450 Pa </t>
  </si>
  <si>
    <t>6024 ZZ C3</t>
  </si>
  <si>
    <t>B</t>
  </si>
  <si>
    <t>IP 23</t>
  </si>
  <si>
    <t>&lt; 90 dB</t>
  </si>
  <si>
    <t>Alojamientos de los rodamientos eléctricamente aislados</t>
  </si>
  <si>
    <t>Anillo SGR de puesta a tierra del eje en NDE</t>
  </si>
  <si>
    <t>Electrically insulated bearing housings</t>
  </si>
  <si>
    <t>SGR shaft grounding ring on NDE</t>
  </si>
  <si>
    <r>
      <t>kW</t>
    </r>
    <r>
      <rPr>
        <i/>
        <sz val="12"/>
        <color theme="0"/>
        <rFont val="Arial Narrow"/>
        <family val="2"/>
      </rPr>
      <t xml:space="preserve"> </t>
    </r>
    <r>
      <rPr>
        <sz val="12"/>
        <color theme="0"/>
        <rFont val="Arial Narrow"/>
        <family val="2"/>
      </rPr>
      <t>S1</t>
    </r>
  </si>
  <si>
    <t>PTC155º C</t>
  </si>
  <si>
    <t>kW S1</t>
  </si>
  <si>
    <t>4 kHz ; IVIC  C/B acc. EN60034-25</t>
  </si>
  <si>
    <t>MAC QT 315 L</t>
  </si>
  <si>
    <t>Sondas rodamientos</t>
  </si>
  <si>
    <t>2 x Pt100</t>
  </si>
  <si>
    <t>Bearing Probes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</si>
</sst>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"/>
    <numFmt numFmtId="165" formatCode="0.0"/>
    <numFmt numFmtId="166" formatCode="0.00000"/>
    <numFmt numFmtId="167" formatCode="#####\ &quot;rpm&quot;"/>
    <numFmt numFmtId="168" formatCode="0\ \V"/>
    <numFmt numFmtId="169" formatCode="0.00_ ;[Red]\-0.00\ "/>
    <numFmt numFmtId="170" formatCode="0.0%"/>
    <numFmt numFmtId="171" formatCode="dd\-mm\-yy"/>
    <numFmt numFmtId="172" formatCode="&quot;J=&quot;\ 0.000\ &quot;Kg m2&quot;"/>
    <numFmt numFmtId="173" formatCode="0\ &quot;Kg&quot;"/>
  </numFmts>
  <fonts count="7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Narrow"/>
      <family val="2"/>
    </font>
    <font>
      <b/>
      <sz val="16"/>
      <name val="Arial Narrow"/>
      <family val="2"/>
    </font>
    <font>
      <sz val="12"/>
      <name val="Arial Narrow"/>
      <family val="2"/>
    </font>
    <font>
      <sz val="22"/>
      <name val="Arial Narrow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b/>
      <sz val="12"/>
      <name val="Arial"/>
      <family val="2"/>
    </font>
    <font>
      <sz val="12"/>
      <color indexed="8"/>
      <name val="Arial Narrow"/>
      <family val="2"/>
    </font>
    <font>
      <sz val="12"/>
      <color rgb="FFFF0000"/>
      <name val="Arial Narrow"/>
      <family val="2"/>
    </font>
    <font>
      <sz val="12"/>
      <name val="Arial"/>
      <family val="2"/>
    </font>
    <font>
      <sz val="10"/>
      <name val="Arial"/>
      <family val="2"/>
    </font>
    <font>
      <sz val="12"/>
      <color theme="0"/>
      <name val="Arial Narrow"/>
      <family val="2"/>
    </font>
    <font>
      <sz val="12"/>
      <color indexed="9"/>
      <name val="Arial Narrow"/>
      <family val="2"/>
    </font>
    <font>
      <sz val="10"/>
      <color indexed="9"/>
      <name val="Arial"/>
      <family val="2"/>
    </font>
    <font>
      <sz val="14"/>
      <name val="Arial Narrow"/>
      <family val="2"/>
    </font>
    <font>
      <i/>
      <sz val="14"/>
      <name val="Arial Narrow"/>
      <family val="2"/>
    </font>
    <font>
      <sz val="22"/>
      <name val="Arial"/>
      <family val="2"/>
    </font>
    <font>
      <sz val="8"/>
      <name val="Arial"/>
      <family val="2"/>
    </font>
    <font>
      <sz val="12"/>
      <color indexed="10"/>
      <name val="Arial Narrow"/>
      <family val="2"/>
    </font>
    <font>
      <i/>
      <sz val="12"/>
      <name val="Arial Narrow"/>
      <family val="2"/>
    </font>
    <font>
      <sz val="11"/>
      <name val="Arial Narrow"/>
      <family val="2"/>
    </font>
    <font>
      <b/>
      <i/>
      <sz val="12"/>
      <name val="Arial Narrow"/>
      <family val="2"/>
    </font>
    <font>
      <sz val="10.5"/>
      <name val="Arial Narrow"/>
      <family val="2"/>
    </font>
    <font>
      <i/>
      <sz val="10.5"/>
      <name val="Arial Narrow"/>
      <family val="2"/>
    </font>
    <font>
      <sz val="16"/>
      <name val="Arial Narrow"/>
      <family val="2"/>
    </font>
    <font>
      <b/>
      <i/>
      <sz val="14"/>
      <color indexed="10"/>
      <name val="Arial Narrow"/>
      <family val="2"/>
    </font>
    <font>
      <sz val="14"/>
      <color indexed="10"/>
      <name val="Arial Narrow"/>
      <family val="2"/>
    </font>
    <font>
      <i/>
      <sz val="11"/>
      <name val="Arial Narrow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3"/>
      <color indexed="10"/>
      <name val="Arial Narrow"/>
      <family val="2"/>
    </font>
    <font>
      <sz val="10"/>
      <color theme="0"/>
      <name val="Arial"/>
      <family val="2"/>
    </font>
    <font>
      <sz val="48"/>
      <name val="Arial"/>
      <family val="2"/>
    </font>
    <font>
      <sz val="16"/>
      <name val="Arial"/>
      <family val="2"/>
    </font>
    <font>
      <sz val="28"/>
      <color theme="0"/>
      <name val="Calibri"/>
      <family val="2"/>
      <scheme val="minor"/>
    </font>
    <font>
      <sz val="20"/>
      <name val="Calibri"/>
      <family val="2"/>
      <scheme val="minor"/>
    </font>
    <font>
      <sz val="20"/>
      <color theme="0"/>
      <name val="Calibri"/>
      <family val="2"/>
      <scheme val="minor"/>
    </font>
    <font>
      <sz val="26"/>
      <color theme="0"/>
      <name val="Calibri"/>
      <family val="2"/>
      <scheme val="minor"/>
    </font>
    <font>
      <sz val="24"/>
      <color theme="0"/>
      <name val="Calibri"/>
      <family val="2"/>
      <scheme val="minor"/>
    </font>
    <font>
      <sz val="12"/>
      <color theme="0"/>
      <name val="Arial"/>
      <family val="2"/>
    </font>
    <font>
      <sz val="12"/>
      <color indexed="9"/>
      <name val="Arial"/>
      <family val="2"/>
    </font>
    <font>
      <sz val="22"/>
      <color theme="0"/>
      <name val="Athens Greek"/>
    </font>
    <font>
      <sz val="20"/>
      <color theme="0"/>
      <name val="Calibri"/>
      <family val="2"/>
    </font>
    <font>
      <sz val="10"/>
      <name val="Calibri"/>
      <family val="2"/>
    </font>
    <font>
      <sz val="18"/>
      <color theme="0"/>
      <name val="Calibri"/>
      <family val="2"/>
    </font>
    <font>
      <sz val="20"/>
      <color indexed="9"/>
      <name val="Calibri"/>
      <family val="2"/>
    </font>
    <font>
      <sz val="12"/>
      <color indexed="9"/>
      <name val="Calibri"/>
      <family val="2"/>
    </font>
    <font>
      <sz val="22"/>
      <name val="Calibri"/>
      <family val="2"/>
    </font>
    <font>
      <sz val="22"/>
      <color theme="0"/>
      <name val="Calibri"/>
      <family val="2"/>
      <scheme val="minor"/>
    </font>
    <font>
      <sz val="14"/>
      <color indexed="81"/>
      <name val="Arial Narrow"/>
      <family val="2"/>
    </font>
    <font>
      <b/>
      <sz val="14"/>
      <color indexed="81"/>
      <name val="Arial Narrow"/>
      <family val="2"/>
    </font>
    <font>
      <b/>
      <i/>
      <sz val="14"/>
      <color indexed="81"/>
      <name val="Arial Narrow"/>
      <family val="2"/>
    </font>
    <font>
      <i/>
      <sz val="14"/>
      <color indexed="81"/>
      <name val="Arial Narrow"/>
      <family val="2"/>
    </font>
    <font>
      <sz val="12"/>
      <color indexed="81"/>
      <name val="Tahoma"/>
      <family val="2"/>
    </font>
    <font>
      <i/>
      <sz val="12"/>
      <color indexed="81"/>
      <name val="Tahoma"/>
      <family val="2"/>
    </font>
    <font>
      <b/>
      <i/>
      <sz val="14"/>
      <name val="Arial Narrow"/>
      <family val="2"/>
    </font>
    <font>
      <sz val="10"/>
      <color rgb="FFFF0000"/>
      <name val="Arial"/>
      <family val="2"/>
    </font>
    <font>
      <sz val="10"/>
      <color rgb="FFFF0000"/>
      <name val="Arial Narrow"/>
      <family val="2"/>
    </font>
    <font>
      <sz val="10"/>
      <color theme="0"/>
      <name val="Arial Narrow"/>
      <family val="2"/>
    </font>
    <font>
      <b/>
      <sz val="12"/>
      <color theme="0"/>
      <name val="Arial"/>
      <family val="2"/>
    </font>
    <font>
      <b/>
      <sz val="12"/>
      <color theme="0"/>
      <name val="Arial Narrow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2"/>
      <color theme="0"/>
      <name val="Arial Narrow"/>
      <family val="2"/>
    </font>
    <font>
      <sz val="14"/>
      <color theme="0"/>
      <name val="Arial Narrow"/>
      <family val="2"/>
    </font>
    <font>
      <sz val="12"/>
      <color rgb="FFFF0000"/>
      <name val="Arial"/>
      <family val="2"/>
    </font>
    <font>
      <sz val="12"/>
      <color theme="0" tint="-0.34998626667073579"/>
      <name val="Arial Narrow"/>
      <family val="2"/>
    </font>
    <font>
      <i/>
      <sz val="12"/>
      <color theme="0" tint="-0.34998626667073579"/>
      <name val="Arial Narrow"/>
      <family val="2"/>
    </font>
    <font>
      <sz val="11.5"/>
      <name val="Arial Narrow"/>
      <family val="2"/>
    </font>
    <font>
      <sz val="11.5"/>
      <color rgb="FFFF0000"/>
      <name val="Arial Narrow"/>
      <family val="2"/>
    </font>
    <font>
      <i/>
      <sz val="11.5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/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5" fillId="0" borderId="0"/>
    <xf numFmtId="0" fontId="2" fillId="0" borderId="0"/>
  </cellStyleXfs>
  <cellXfs count="724">
    <xf numFmtId="0" fontId="0" fillId="0" borderId="0" xfId="0"/>
    <xf numFmtId="164" fontId="4" fillId="2" borderId="1" xfId="0" applyNumberFormat="1" applyFont="1" applyFill="1" applyBorder="1"/>
    <xf numFmtId="164" fontId="4" fillId="2" borderId="1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164" fontId="4" fillId="2" borderId="3" xfId="0" applyNumberFormat="1" applyFont="1" applyFill="1" applyBorder="1" applyAlignment="1">
      <alignment horizontal="right"/>
    </xf>
    <xf numFmtId="164" fontId="0" fillId="2" borderId="0" xfId="0" applyNumberFormat="1" applyFill="1"/>
    <xf numFmtId="164" fontId="4" fillId="2" borderId="4" xfId="0" applyNumberFormat="1" applyFont="1" applyFill="1" applyBorder="1"/>
    <xf numFmtId="164" fontId="5" fillId="2" borderId="4" xfId="0" applyNumberFormat="1" applyFont="1" applyFill="1" applyBorder="1" applyAlignment="1">
      <alignment horizontal="center"/>
    </xf>
    <xf numFmtId="164" fontId="4" fillId="2" borderId="5" xfId="0" applyNumberFormat="1" applyFont="1" applyFill="1" applyBorder="1" applyAlignment="1">
      <alignment horizontal="right"/>
    </xf>
    <xf numFmtId="164" fontId="6" fillId="2" borderId="0" xfId="0" applyNumberFormat="1" applyFont="1" applyFill="1" applyAlignment="1">
      <alignment horizontal="left"/>
    </xf>
    <xf numFmtId="164" fontId="6" fillId="2" borderId="5" xfId="0" applyNumberFormat="1" applyFont="1" applyFill="1" applyBorder="1" applyAlignment="1">
      <alignment horizontal="center"/>
    </xf>
    <xf numFmtId="164" fontId="4" fillId="2" borderId="4" xfId="0" applyNumberFormat="1" applyFont="1" applyFill="1" applyBorder="1" applyAlignment="1">
      <alignment horizontal="right"/>
    </xf>
    <xf numFmtId="49" fontId="6" fillId="2" borderId="5" xfId="0" applyNumberFormat="1" applyFont="1" applyFill="1" applyBorder="1" applyAlignment="1">
      <alignment horizontal="center"/>
    </xf>
    <xf numFmtId="164" fontId="8" fillId="2" borderId="4" xfId="0" applyNumberFormat="1" applyFont="1" applyFill="1" applyBorder="1" applyAlignment="1">
      <alignment horizontal="center"/>
    </xf>
    <xf numFmtId="14" fontId="6" fillId="2" borderId="5" xfId="0" applyNumberFormat="1" applyFont="1" applyFill="1" applyBorder="1" applyAlignment="1">
      <alignment horizontal="center"/>
    </xf>
    <xf numFmtId="164" fontId="4" fillId="2" borderId="6" xfId="0" applyNumberFormat="1" applyFont="1" applyFill="1" applyBorder="1"/>
    <xf numFmtId="164" fontId="4" fillId="2" borderId="6" xfId="0" applyNumberFormat="1" applyFont="1" applyFill="1" applyBorder="1" applyAlignment="1">
      <alignment horizontal="right"/>
    </xf>
    <xf numFmtId="164" fontId="4" fillId="2" borderId="7" xfId="0" applyNumberFormat="1" applyFont="1" applyFill="1" applyBorder="1" applyAlignment="1">
      <alignment horizontal="right"/>
    </xf>
    <xf numFmtId="164" fontId="4" fillId="2" borderId="8" xfId="0" applyNumberFormat="1" applyFont="1" applyFill="1" applyBorder="1" applyAlignment="1">
      <alignment horizontal="right"/>
    </xf>
    <xf numFmtId="164" fontId="4" fillId="2" borderId="9" xfId="0" applyNumberFormat="1" applyFont="1" applyFill="1" applyBorder="1"/>
    <xf numFmtId="164" fontId="9" fillId="3" borderId="9" xfId="0" applyNumberFormat="1" applyFont="1" applyFill="1" applyBorder="1" applyAlignment="1">
      <alignment horizontal="right"/>
    </xf>
    <xf numFmtId="164" fontId="10" fillId="2" borderId="10" xfId="0" applyNumberFormat="1" applyFont="1" applyFill="1" applyBorder="1"/>
    <xf numFmtId="164" fontId="10" fillId="2" borderId="11" xfId="0" applyNumberFormat="1" applyFont="1" applyFill="1" applyBorder="1" applyAlignment="1">
      <alignment horizontal="right"/>
    </xf>
    <xf numFmtId="164" fontId="11" fillId="2" borderId="0" xfId="0" applyNumberFormat="1" applyFont="1" applyFill="1"/>
    <xf numFmtId="164" fontId="10" fillId="2" borderId="12" xfId="0" applyNumberFormat="1" applyFont="1" applyFill="1" applyBorder="1"/>
    <xf numFmtId="164" fontId="10" fillId="2" borderId="13" xfId="0" applyNumberFormat="1" applyFont="1" applyFill="1" applyBorder="1" applyAlignment="1">
      <alignment horizontal="right"/>
    </xf>
    <xf numFmtId="164" fontId="11" fillId="2" borderId="9" xfId="0" applyNumberFormat="1" applyFont="1" applyFill="1" applyBorder="1"/>
    <xf numFmtId="164" fontId="10" fillId="2" borderId="14" xfId="0" applyNumberFormat="1" applyFont="1" applyFill="1" applyBorder="1"/>
    <xf numFmtId="1" fontId="10" fillId="4" borderId="15" xfId="0" applyNumberFormat="1" applyFont="1" applyFill="1" applyBorder="1" applyAlignment="1">
      <alignment horizontal="right"/>
    </xf>
    <xf numFmtId="164" fontId="6" fillId="2" borderId="10" xfId="0" applyNumberFormat="1" applyFont="1" applyFill="1" applyBorder="1"/>
    <xf numFmtId="1" fontId="12" fillId="4" borderId="11" xfId="0" applyNumberFormat="1" applyFont="1" applyFill="1" applyBorder="1" applyAlignment="1">
      <alignment horizontal="right"/>
    </xf>
    <xf numFmtId="164" fontId="14" fillId="2" borderId="16" xfId="0" applyNumberFormat="1" applyFont="1" applyFill="1" applyBorder="1"/>
    <xf numFmtId="164" fontId="6" fillId="2" borderId="14" xfId="0" applyNumberFormat="1" applyFont="1" applyFill="1" applyBorder="1"/>
    <xf numFmtId="1" fontId="12" fillId="4" borderId="15" xfId="0" applyNumberFormat="1" applyFont="1" applyFill="1" applyBorder="1" applyAlignment="1">
      <alignment horizontal="right"/>
    </xf>
    <xf numFmtId="164" fontId="14" fillId="2" borderId="0" xfId="0" applyNumberFormat="1" applyFont="1" applyFill="1"/>
    <xf numFmtId="165" fontId="6" fillId="2" borderId="12" xfId="0" applyNumberFormat="1" applyFont="1" applyFill="1" applyBorder="1"/>
    <xf numFmtId="165" fontId="12" fillId="4" borderId="13" xfId="0" applyNumberFormat="1" applyFont="1" applyFill="1" applyBorder="1" applyAlignment="1">
      <alignment horizontal="right"/>
    </xf>
    <xf numFmtId="165" fontId="14" fillId="2" borderId="9" xfId="0" applyNumberFormat="1" applyFont="1" applyFill="1" applyBorder="1"/>
    <xf numFmtId="165" fontId="6" fillId="2" borderId="14" xfId="0" applyNumberFormat="1" applyFont="1" applyFill="1" applyBorder="1"/>
    <xf numFmtId="165" fontId="12" fillId="4" borderId="15" xfId="0" applyNumberFormat="1" applyFont="1" applyFill="1" applyBorder="1" applyAlignment="1">
      <alignment horizontal="right"/>
    </xf>
    <xf numFmtId="165" fontId="14" fillId="2" borderId="0" xfId="0" applyNumberFormat="1" applyFont="1" applyFill="1"/>
    <xf numFmtId="2" fontId="12" fillId="4" borderId="15" xfId="0" applyNumberFormat="1" applyFont="1" applyFill="1" applyBorder="1" applyAlignment="1">
      <alignment horizontal="right"/>
    </xf>
    <xf numFmtId="2" fontId="13" fillId="4" borderId="15" xfId="0" applyNumberFormat="1" applyFont="1" applyFill="1" applyBorder="1" applyAlignment="1">
      <alignment horizontal="right"/>
    </xf>
    <xf numFmtId="164" fontId="6" fillId="2" borderId="12" xfId="0" applyNumberFormat="1" applyFont="1" applyFill="1" applyBorder="1"/>
    <xf numFmtId="2" fontId="12" fillId="4" borderId="13" xfId="0" applyNumberFormat="1" applyFont="1" applyFill="1" applyBorder="1" applyAlignment="1">
      <alignment horizontal="right"/>
    </xf>
    <xf numFmtId="164" fontId="14" fillId="2" borderId="9" xfId="0" applyNumberFormat="1" applyFont="1" applyFill="1" applyBorder="1"/>
    <xf numFmtId="164" fontId="6" fillId="2" borderId="17" xfId="0" applyNumberFormat="1" applyFont="1" applyFill="1" applyBorder="1"/>
    <xf numFmtId="164" fontId="12" fillId="4" borderId="18" xfId="0" applyNumberFormat="1" applyFont="1" applyFill="1" applyBorder="1" applyAlignment="1">
      <alignment horizontal="right"/>
    </xf>
    <xf numFmtId="164" fontId="14" fillId="2" borderId="19" xfId="0" applyNumberFormat="1" applyFont="1" applyFill="1" applyBorder="1"/>
    <xf numFmtId="164" fontId="12" fillId="4" borderId="15" xfId="0" applyNumberFormat="1" applyFont="1" applyFill="1" applyBorder="1" applyAlignment="1">
      <alignment horizontal="right"/>
    </xf>
    <xf numFmtId="164" fontId="10" fillId="4" borderId="11" xfId="0" applyNumberFormat="1" applyFont="1" applyFill="1" applyBorder="1" applyAlignment="1">
      <alignment horizontal="right"/>
    </xf>
    <xf numFmtId="164" fontId="10" fillId="4" borderId="13" xfId="0" applyNumberFormat="1" applyFont="1" applyFill="1" applyBorder="1" applyAlignment="1">
      <alignment horizontal="right"/>
    </xf>
    <xf numFmtId="164" fontId="6" fillId="2" borderId="11" xfId="0" applyNumberFormat="1" applyFont="1" applyFill="1" applyBorder="1"/>
    <xf numFmtId="2" fontId="6" fillId="4" borderId="20" xfId="0" applyNumberFormat="1" applyFont="1" applyFill="1" applyBorder="1" applyAlignment="1">
      <alignment horizontal="right"/>
    </xf>
    <xf numFmtId="164" fontId="6" fillId="2" borderId="15" xfId="0" applyNumberFormat="1" applyFont="1" applyFill="1" applyBorder="1"/>
    <xf numFmtId="2" fontId="6" fillId="4" borderId="15" xfId="0" applyNumberFormat="1" applyFont="1" applyFill="1" applyBorder="1" applyAlignment="1">
      <alignment horizontal="right"/>
    </xf>
    <xf numFmtId="164" fontId="6" fillId="2" borderId="13" xfId="0" applyNumberFormat="1" applyFont="1" applyFill="1" applyBorder="1"/>
    <xf numFmtId="165" fontId="6" fillId="2" borderId="17" xfId="0" applyNumberFormat="1" applyFont="1" applyFill="1" applyBorder="1"/>
    <xf numFmtId="165" fontId="6" fillId="4" borderId="18" xfId="0" applyNumberFormat="1" applyFont="1" applyFill="1" applyBorder="1" applyAlignment="1">
      <alignment horizontal="right"/>
    </xf>
    <xf numFmtId="165" fontId="14" fillId="2" borderId="19" xfId="0" applyNumberFormat="1" applyFont="1" applyFill="1" applyBorder="1"/>
    <xf numFmtId="164" fontId="15" fillId="2" borderId="18" xfId="1" applyNumberFormat="1" applyFill="1" applyBorder="1"/>
    <xf numFmtId="165" fontId="6" fillId="2" borderId="18" xfId="1" applyNumberFormat="1" applyFont="1" applyFill="1" applyBorder="1" applyAlignment="1">
      <alignment horizontal="right" vertical="center"/>
    </xf>
    <xf numFmtId="165" fontId="13" fillId="2" borderId="18" xfId="1" applyNumberFormat="1" applyFont="1" applyFill="1" applyBorder="1" applyAlignment="1">
      <alignment horizontal="right" vertical="center"/>
    </xf>
    <xf numFmtId="164" fontId="4" fillId="2" borderId="0" xfId="0" applyNumberFormat="1" applyFont="1" applyFill="1"/>
    <xf numFmtId="166" fontId="4" fillId="2" borderId="15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  <xf numFmtId="0" fontId="15" fillId="2" borderId="1" xfId="1" applyFill="1" applyBorder="1" applyAlignment="1">
      <alignment horizontal="right"/>
    </xf>
    <xf numFmtId="0" fontId="15" fillId="2" borderId="2" xfId="1" applyFill="1" applyBorder="1" applyAlignment="1">
      <alignment horizontal="right"/>
    </xf>
    <xf numFmtId="0" fontId="15" fillId="2" borderId="3" xfId="1" applyFill="1" applyBorder="1" applyAlignment="1">
      <alignment horizontal="right"/>
    </xf>
    <xf numFmtId="165" fontId="6" fillId="2" borderId="1" xfId="1" applyNumberFormat="1" applyFont="1" applyFill="1" applyBorder="1" applyAlignment="1">
      <alignment horizontal="right"/>
    </xf>
    <xf numFmtId="165" fontId="6" fillId="2" borderId="2" xfId="1" applyNumberFormat="1" applyFont="1" applyFill="1" applyBorder="1" applyAlignment="1">
      <alignment horizontal="right"/>
    </xf>
    <xf numFmtId="0" fontId="6" fillId="2" borderId="2" xfId="1" applyFont="1" applyFill="1" applyBorder="1" applyAlignment="1">
      <alignment horizontal="right"/>
    </xf>
    <xf numFmtId="165" fontId="6" fillId="2" borderId="3" xfId="1" applyNumberFormat="1" applyFont="1" applyFill="1" applyBorder="1" applyAlignment="1">
      <alignment horizontal="right"/>
    </xf>
    <xf numFmtId="0" fontId="6" fillId="2" borderId="2" xfId="1" applyFont="1" applyFill="1" applyBorder="1" applyAlignment="1">
      <alignment horizontal="left"/>
    </xf>
    <xf numFmtId="0" fontId="16" fillId="2" borderId="0" xfId="1" applyFont="1" applyFill="1" applyAlignment="1">
      <alignment horizontal="right"/>
    </xf>
    <xf numFmtId="0" fontId="17" fillId="2" borderId="0" xfId="1" applyFont="1" applyFill="1" applyAlignment="1">
      <alignment horizontal="right"/>
    </xf>
    <xf numFmtId="0" fontId="18" fillId="2" borderId="0" xfId="1" applyFont="1" applyFill="1" applyAlignment="1">
      <alignment horizontal="right"/>
    </xf>
    <xf numFmtId="0" fontId="15" fillId="2" borderId="0" xfId="1" applyFill="1" applyAlignment="1">
      <alignment horizontal="right"/>
    </xf>
    <xf numFmtId="0" fontId="15" fillId="2" borderId="4" xfId="1" applyFill="1" applyBorder="1" applyAlignment="1">
      <alignment horizontal="right"/>
    </xf>
    <xf numFmtId="0" fontId="15" fillId="2" borderId="5" xfId="1" applyFill="1" applyBorder="1" applyAlignment="1">
      <alignment horizontal="right"/>
    </xf>
    <xf numFmtId="0" fontId="6" fillId="2" borderId="0" xfId="1" applyFont="1" applyFill="1" applyAlignment="1">
      <alignment horizontal="left"/>
    </xf>
    <xf numFmtId="0" fontId="15" fillId="2" borderId="6" xfId="1" applyFill="1" applyBorder="1" applyAlignment="1">
      <alignment horizontal="right"/>
    </xf>
    <xf numFmtId="0" fontId="15" fillId="2" borderId="7" xfId="1" applyFill="1" applyBorder="1" applyAlignment="1">
      <alignment horizontal="right"/>
    </xf>
    <xf numFmtId="0" fontId="15" fillId="2" borderId="8" xfId="1" applyFill="1" applyBorder="1" applyAlignment="1">
      <alignment horizontal="right"/>
    </xf>
    <xf numFmtId="165" fontId="6" fillId="2" borderId="6" xfId="1" applyNumberFormat="1" applyFont="1" applyFill="1" applyBorder="1" applyAlignment="1">
      <alignment horizontal="right"/>
    </xf>
    <xf numFmtId="0" fontId="6" fillId="2" borderId="7" xfId="1" applyFont="1" applyFill="1" applyBorder="1" applyAlignment="1">
      <alignment horizontal="right"/>
    </xf>
    <xf numFmtId="165" fontId="6" fillId="2" borderId="7" xfId="1" applyNumberFormat="1" applyFont="1" applyFill="1" applyBorder="1" applyAlignment="1">
      <alignment horizontal="right"/>
    </xf>
    <xf numFmtId="1" fontId="6" fillId="2" borderId="7" xfId="1" applyNumberFormat="1" applyFont="1" applyFill="1" applyBorder="1" applyAlignment="1">
      <alignment horizontal="right"/>
    </xf>
    <xf numFmtId="0" fontId="6" fillId="2" borderId="8" xfId="1" applyFont="1" applyFill="1" applyBorder="1" applyAlignment="1">
      <alignment horizontal="right"/>
    </xf>
    <xf numFmtId="0" fontId="21" fillId="2" borderId="0" xfId="1" applyFont="1" applyFill="1" applyAlignment="1">
      <alignment horizontal="left"/>
    </xf>
    <xf numFmtId="165" fontId="15" fillId="2" borderId="0" xfId="1" applyNumberFormat="1" applyFill="1" applyAlignment="1">
      <alignment horizontal="right"/>
    </xf>
    <xf numFmtId="0" fontId="22" fillId="2" borderId="0" xfId="1" applyFont="1" applyFill="1" applyAlignment="1">
      <alignment horizontal="left"/>
    </xf>
    <xf numFmtId="0" fontId="15" fillId="2" borderId="0" xfId="1" applyFill="1" applyAlignment="1">
      <alignment horizontal="right" vertical="center"/>
    </xf>
    <xf numFmtId="165" fontId="15" fillId="2" borderId="0" xfId="1" applyNumberFormat="1" applyFill="1" applyAlignment="1">
      <alignment horizontal="left" vertical="center"/>
    </xf>
    <xf numFmtId="0" fontId="8" fillId="2" borderId="21" xfId="1" applyFont="1" applyFill="1" applyBorder="1" applyAlignment="1">
      <alignment vertical="center"/>
    </xf>
    <xf numFmtId="0" fontId="6" fillId="2" borderId="22" xfId="1" applyFont="1" applyFill="1" applyBorder="1" applyAlignment="1">
      <alignment horizontal="right" vertical="center"/>
    </xf>
    <xf numFmtId="0" fontId="6" fillId="2" borderId="23" xfId="1" applyFont="1" applyFill="1" applyBorder="1" applyAlignment="1">
      <alignment horizontal="right" vertical="center"/>
    </xf>
    <xf numFmtId="0" fontId="6" fillId="2" borderId="2" xfId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0" fontId="13" fillId="2" borderId="0" xfId="1" applyFont="1" applyFill="1" applyAlignment="1">
      <alignment horizontal="right" vertical="center"/>
    </xf>
    <xf numFmtId="0" fontId="16" fillId="2" borderId="0" xfId="1" applyFont="1" applyFill="1" applyAlignment="1">
      <alignment horizontal="right" vertical="center"/>
    </xf>
    <xf numFmtId="0" fontId="17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right" vertical="center"/>
    </xf>
    <xf numFmtId="0" fontId="6" fillId="2" borderId="1" xfId="1" applyFont="1" applyFill="1" applyBorder="1" applyAlignment="1">
      <alignment vertical="center"/>
    </xf>
    <xf numFmtId="0" fontId="24" fillId="2" borderId="7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center" vertical="center"/>
    </xf>
    <xf numFmtId="0" fontId="24" fillId="2" borderId="0" xfId="1" applyFont="1" applyFill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165" fontId="6" fillId="2" borderId="4" xfId="1" applyNumberFormat="1" applyFont="1" applyFill="1" applyBorder="1" applyAlignment="1">
      <alignment horizontal="left" vertical="center"/>
    </xf>
    <xf numFmtId="0" fontId="24" fillId="2" borderId="0" xfId="1" applyFont="1" applyFill="1" applyAlignment="1">
      <alignment horizontal="left" vertical="center"/>
    </xf>
    <xf numFmtId="0" fontId="6" fillId="2" borderId="7" xfId="1" applyFont="1" applyFill="1" applyBorder="1" applyAlignment="1">
      <alignment horizontal="right" vertical="center"/>
    </xf>
    <xf numFmtId="165" fontId="24" fillId="2" borderId="4" xfId="1" applyNumberFormat="1" applyFont="1" applyFill="1" applyBorder="1" applyAlignment="1">
      <alignment horizontal="left" vertical="center"/>
    </xf>
    <xf numFmtId="165" fontId="6" fillId="2" borderId="0" xfId="1" applyNumberFormat="1" applyFont="1" applyFill="1" applyAlignment="1">
      <alignment horizontal="center" vertical="center"/>
    </xf>
    <xf numFmtId="0" fontId="6" fillId="2" borderId="4" xfId="1" applyFont="1" applyFill="1" applyBorder="1" applyAlignment="1">
      <alignment vertical="center"/>
    </xf>
    <xf numFmtId="0" fontId="6" fillId="2" borderId="0" xfId="1" applyFont="1" applyFill="1" applyAlignment="1">
      <alignment horizontal="center" vertical="center"/>
    </xf>
    <xf numFmtId="1" fontId="6" fillId="2" borderId="2" xfId="1" applyNumberFormat="1" applyFont="1" applyFill="1" applyBorder="1" applyAlignment="1">
      <alignment horizontal="left" vertical="center"/>
    </xf>
    <xf numFmtId="1" fontId="6" fillId="2" borderId="2" xfId="1" applyNumberFormat="1" applyFont="1" applyFill="1" applyBorder="1" applyAlignment="1">
      <alignment horizontal="center" vertical="center"/>
    </xf>
    <xf numFmtId="1" fontId="6" fillId="2" borderId="1" xfId="1" applyNumberFormat="1" applyFont="1" applyFill="1" applyBorder="1" applyAlignment="1">
      <alignment horizontal="left" vertical="center"/>
    </xf>
    <xf numFmtId="1" fontId="10" fillId="2" borderId="2" xfId="1" applyNumberFormat="1" applyFont="1" applyFill="1" applyBorder="1" applyAlignment="1">
      <alignment horizontal="center" vertical="center"/>
    </xf>
    <xf numFmtId="1" fontId="26" fillId="2" borderId="3" xfId="1" applyNumberFormat="1" applyFont="1" applyFill="1" applyBorder="1" applyAlignment="1">
      <alignment horizontal="left" vertical="center"/>
    </xf>
    <xf numFmtId="1" fontId="24" fillId="2" borderId="7" xfId="1" applyNumberFormat="1" applyFont="1" applyFill="1" applyBorder="1" applyAlignment="1">
      <alignment horizontal="left" vertical="center"/>
    </xf>
    <xf numFmtId="1" fontId="6" fillId="2" borderId="7" xfId="1" applyNumberFormat="1" applyFont="1" applyFill="1" applyBorder="1" applyAlignment="1">
      <alignment horizontal="center" vertical="center"/>
    </xf>
    <xf numFmtId="1" fontId="24" fillId="2" borderId="6" xfId="1" applyNumberFormat="1" applyFont="1" applyFill="1" applyBorder="1" applyAlignment="1">
      <alignment horizontal="left" vertical="center"/>
    </xf>
    <xf numFmtId="1" fontId="24" fillId="2" borderId="8" xfId="1" applyNumberFormat="1" applyFont="1" applyFill="1" applyBorder="1" applyAlignment="1">
      <alignment horizontal="left" vertical="center"/>
    </xf>
    <xf numFmtId="0" fontId="24" fillId="2" borderId="4" xfId="1" applyFont="1" applyFill="1" applyBorder="1" applyAlignment="1">
      <alignment horizontal="left" vertical="center"/>
    </xf>
    <xf numFmtId="165" fontId="6" fillId="2" borderId="0" xfId="1" applyNumberFormat="1" applyFont="1" applyFill="1" applyAlignment="1">
      <alignment horizontal="left" vertical="center"/>
    </xf>
    <xf numFmtId="165" fontId="6" fillId="2" borderId="1" xfId="1" applyNumberFormat="1" applyFont="1" applyFill="1" applyBorder="1" applyAlignment="1">
      <alignment horizontal="left" vertical="center"/>
    </xf>
    <xf numFmtId="165" fontId="6" fillId="2" borderId="2" xfId="1" applyNumberFormat="1" applyFont="1" applyFill="1" applyBorder="1" applyAlignment="1">
      <alignment horizontal="center" vertical="center"/>
    </xf>
    <xf numFmtId="165" fontId="24" fillId="2" borderId="7" xfId="1" applyNumberFormat="1" applyFont="1" applyFill="1" applyBorder="1" applyAlignment="1">
      <alignment horizontal="left" vertical="center"/>
    </xf>
    <xf numFmtId="165" fontId="6" fillId="2" borderId="7" xfId="1" applyNumberFormat="1" applyFont="1" applyFill="1" applyBorder="1" applyAlignment="1">
      <alignment horizontal="center" vertical="center"/>
    </xf>
    <xf numFmtId="165" fontId="24" fillId="2" borderId="6" xfId="1" applyNumberFormat="1" applyFont="1" applyFill="1" applyBorder="1" applyAlignment="1">
      <alignment horizontal="left" vertical="center"/>
    </xf>
    <xf numFmtId="0" fontId="6" fillId="2" borderId="6" xfId="1" applyFont="1" applyFill="1" applyBorder="1" applyAlignment="1">
      <alignment vertical="center"/>
    </xf>
    <xf numFmtId="0" fontId="24" fillId="2" borderId="6" xfId="1" applyFont="1" applyFill="1" applyBorder="1" applyAlignment="1">
      <alignment horizontal="left" vertical="center"/>
    </xf>
    <xf numFmtId="0" fontId="6" fillId="2" borderId="0" xfId="1" applyFont="1" applyFill="1" applyAlignment="1">
      <alignment horizontal="right"/>
    </xf>
    <xf numFmtId="168" fontId="30" fillId="2" borderId="0" xfId="1" applyNumberFormat="1" applyFont="1" applyFill="1" applyAlignment="1">
      <alignment horizontal="right" vertical="center"/>
    </xf>
    <xf numFmtId="168" fontId="30" fillId="2" borderId="0" xfId="1" applyNumberFormat="1" applyFont="1" applyFill="1" applyAlignment="1">
      <alignment horizontal="left" vertical="center"/>
    </xf>
    <xf numFmtId="0" fontId="24" fillId="2" borderId="0" xfId="1" applyFont="1" applyFill="1" applyAlignment="1">
      <alignment horizontal="right"/>
    </xf>
    <xf numFmtId="168" fontId="24" fillId="2" borderId="0" xfId="1" applyNumberFormat="1" applyFont="1" applyFill="1" applyAlignment="1">
      <alignment horizontal="center" vertical="center"/>
    </xf>
    <xf numFmtId="0" fontId="24" fillId="2" borderId="0" xfId="1" applyFont="1" applyFill="1" applyAlignment="1">
      <alignment horizontal="center" vertical="center"/>
    </xf>
    <xf numFmtId="0" fontId="19" fillId="2" borderId="2" xfId="1" applyFont="1" applyFill="1" applyBorder="1" applyAlignment="1">
      <alignment vertical="center"/>
    </xf>
    <xf numFmtId="0" fontId="31" fillId="5" borderId="3" xfId="1" applyFont="1" applyFill="1" applyBorder="1" applyAlignment="1">
      <alignment horizontal="right"/>
    </xf>
    <xf numFmtId="168" fontId="23" fillId="2" borderId="0" xfId="1" applyNumberFormat="1" applyFont="1" applyFill="1" applyAlignment="1">
      <alignment horizontal="right" vertical="center"/>
    </xf>
    <xf numFmtId="0" fontId="19" fillId="2" borderId="7" xfId="1" applyFont="1" applyFill="1" applyBorder="1" applyAlignment="1">
      <alignment vertical="center"/>
    </xf>
    <xf numFmtId="0" fontId="31" fillId="5" borderId="8" xfId="1" applyFont="1" applyFill="1" applyBorder="1" applyAlignment="1">
      <alignment horizontal="right"/>
    </xf>
    <xf numFmtId="0" fontId="6" fillId="2" borderId="21" xfId="1" applyFont="1" applyFill="1" applyBorder="1" applyAlignment="1">
      <alignment horizontal="center" vertical="center" textRotation="90" wrapText="1"/>
    </xf>
    <xf numFmtId="165" fontId="6" fillId="2" borderId="25" xfId="1" applyNumberFormat="1" applyFont="1" applyFill="1" applyBorder="1" applyAlignment="1">
      <alignment horizontal="center" vertical="center" textRotation="90" wrapText="1"/>
    </xf>
    <xf numFmtId="165" fontId="6" fillId="2" borderId="26" xfId="1" applyNumberFormat="1" applyFont="1" applyFill="1" applyBorder="1" applyAlignment="1">
      <alignment horizontal="center" vertical="center" textRotation="90" wrapText="1"/>
    </xf>
    <xf numFmtId="0" fontId="6" fillId="2" borderId="27" xfId="1" applyFont="1" applyFill="1" applyBorder="1" applyAlignment="1">
      <alignment horizontal="center" vertical="center" textRotation="90" wrapText="1"/>
    </xf>
    <xf numFmtId="165" fontId="6" fillId="2" borderId="27" xfId="1" applyNumberFormat="1" applyFont="1" applyFill="1" applyBorder="1" applyAlignment="1">
      <alignment horizontal="center" vertical="center" textRotation="90" wrapText="1"/>
    </xf>
    <xf numFmtId="165" fontId="6" fillId="2" borderId="28" xfId="1" applyNumberFormat="1" applyFont="1" applyFill="1" applyBorder="1" applyAlignment="1">
      <alignment horizontal="center" vertical="center" textRotation="90" wrapText="1"/>
    </xf>
    <xf numFmtId="0" fontId="6" fillId="2" borderId="0" xfId="1" applyFont="1" applyFill="1" applyAlignment="1">
      <alignment horizontal="center" vertical="center" wrapText="1"/>
    </xf>
    <xf numFmtId="0" fontId="17" fillId="2" borderId="0" xfId="1" applyFont="1" applyFill="1" applyAlignment="1">
      <alignment horizontal="center" vertical="center" wrapText="1"/>
    </xf>
    <xf numFmtId="1" fontId="6" fillId="2" borderId="29" xfId="1" applyNumberFormat="1" applyFont="1" applyFill="1" applyBorder="1" applyAlignment="1">
      <alignment horizontal="center" vertical="center"/>
    </xf>
    <xf numFmtId="1" fontId="6" fillId="2" borderId="15" xfId="1" applyNumberFormat="1" applyFont="1" applyFill="1" applyBorder="1" applyAlignment="1">
      <alignment horizontal="center" vertical="center"/>
    </xf>
    <xf numFmtId="165" fontId="6" fillId="2" borderId="15" xfId="1" applyNumberFormat="1" applyFont="1" applyFill="1" applyBorder="1" applyAlignment="1">
      <alignment horizontal="center" vertical="center"/>
    </xf>
    <xf numFmtId="1" fontId="6" fillId="2" borderId="30" xfId="1" applyNumberFormat="1" applyFont="1" applyFill="1" applyBorder="1" applyAlignment="1">
      <alignment horizontal="center" vertical="center"/>
    </xf>
    <xf numFmtId="1" fontId="6" fillId="2" borderId="32" xfId="1" applyNumberFormat="1" applyFont="1" applyFill="1" applyBorder="1" applyAlignment="1">
      <alignment horizontal="center" vertical="center"/>
    </xf>
    <xf numFmtId="165" fontId="6" fillId="2" borderId="32" xfId="1" applyNumberFormat="1" applyFont="1" applyFill="1" applyBorder="1" applyAlignment="1">
      <alignment horizontal="center" vertical="center"/>
    </xf>
    <xf numFmtId="2" fontId="16" fillId="2" borderId="0" xfId="1" applyNumberFormat="1" applyFont="1" applyFill="1" applyAlignment="1">
      <alignment vertical="center"/>
    </xf>
    <xf numFmtId="165" fontId="16" fillId="2" borderId="0" xfId="1" applyNumberFormat="1" applyFont="1" applyFill="1" applyAlignment="1">
      <alignment vertical="center"/>
    </xf>
    <xf numFmtId="0" fontId="18" fillId="2" borderId="0" xfId="1" applyFont="1" applyFill="1" applyAlignment="1">
      <alignment horizontal="right" vertical="center"/>
    </xf>
    <xf numFmtId="0" fontId="33" fillId="2" borderId="0" xfId="1" applyFont="1" applyFill="1" applyAlignment="1">
      <alignment horizontal="right" vertical="center"/>
    </xf>
    <xf numFmtId="1" fontId="15" fillId="2" borderId="0" xfId="1" applyNumberFormat="1" applyFill="1" applyAlignment="1">
      <alignment horizontal="right"/>
    </xf>
    <xf numFmtId="0" fontId="15" fillId="2" borderId="1" xfId="1" applyFill="1" applyBorder="1" applyAlignment="1">
      <alignment horizontal="left"/>
    </xf>
    <xf numFmtId="165" fontId="15" fillId="2" borderId="3" xfId="1" applyNumberFormat="1" applyFill="1" applyBorder="1" applyAlignment="1">
      <alignment horizontal="right"/>
    </xf>
    <xf numFmtId="165" fontId="15" fillId="2" borderId="1" xfId="1" applyNumberFormat="1" applyFill="1" applyBorder="1" applyAlignment="1">
      <alignment horizontal="left"/>
    </xf>
    <xf numFmtId="165" fontId="15" fillId="2" borderId="2" xfId="1" applyNumberFormat="1" applyFill="1" applyBorder="1" applyAlignment="1">
      <alignment horizontal="right"/>
    </xf>
    <xf numFmtId="1" fontId="15" fillId="2" borderId="1" xfId="1" applyNumberFormat="1" applyFill="1" applyBorder="1" applyAlignment="1">
      <alignment horizontal="right"/>
    </xf>
    <xf numFmtId="165" fontId="15" fillId="2" borderId="5" xfId="1" applyNumberFormat="1" applyFill="1" applyBorder="1" applyAlignment="1">
      <alignment horizontal="right"/>
    </xf>
    <xf numFmtId="165" fontId="15" fillId="2" borderId="4" xfId="1" applyNumberFormat="1" applyFill="1" applyBorder="1" applyAlignment="1">
      <alignment horizontal="right"/>
    </xf>
    <xf numFmtId="1" fontId="15" fillId="2" borderId="4" xfId="1" applyNumberFormat="1" applyFill="1" applyBorder="1" applyAlignment="1">
      <alignment horizontal="right"/>
    </xf>
    <xf numFmtId="14" fontId="15" fillId="2" borderId="8" xfId="1" applyNumberFormat="1" applyFill="1" applyBorder="1" applyAlignment="1">
      <alignment horizontal="right"/>
    </xf>
    <xf numFmtId="165" fontId="15" fillId="2" borderId="6" xfId="1" applyNumberFormat="1" applyFill="1" applyBorder="1" applyAlignment="1">
      <alignment horizontal="right"/>
    </xf>
    <xf numFmtId="165" fontId="15" fillId="2" borderId="7" xfId="1" applyNumberFormat="1" applyFill="1" applyBorder="1" applyAlignment="1">
      <alignment horizontal="right"/>
    </xf>
    <xf numFmtId="1" fontId="15" fillId="2" borderId="6" xfId="1" applyNumberFormat="1" applyFill="1" applyBorder="1" applyAlignment="1">
      <alignment horizontal="right"/>
    </xf>
    <xf numFmtId="165" fontId="34" fillId="2" borderId="2" xfId="1" applyNumberFormat="1" applyFont="1" applyFill="1" applyBorder="1" applyAlignment="1">
      <alignment horizontal="right"/>
    </xf>
    <xf numFmtId="0" fontId="34" fillId="2" borderId="2" xfId="1" applyFont="1" applyFill="1" applyBorder="1" applyAlignment="1">
      <alignment horizontal="right"/>
    </xf>
    <xf numFmtId="0" fontId="6" fillId="2" borderId="1" xfId="1" applyFont="1" applyFill="1" applyBorder="1" applyAlignment="1">
      <alignment horizontal="left"/>
    </xf>
    <xf numFmtId="0" fontId="6" fillId="2" borderId="4" xfId="1" applyFont="1" applyFill="1" applyBorder="1" applyAlignment="1">
      <alignment horizontal="left"/>
    </xf>
    <xf numFmtId="165" fontId="34" fillId="2" borderId="7" xfId="1" applyNumberFormat="1" applyFont="1" applyFill="1" applyBorder="1" applyAlignment="1">
      <alignment horizontal="right"/>
    </xf>
    <xf numFmtId="0" fontId="34" fillId="2" borderId="7" xfId="1" applyFont="1" applyFill="1" applyBorder="1" applyAlignment="1">
      <alignment horizontal="right"/>
    </xf>
    <xf numFmtId="0" fontId="6" fillId="2" borderId="6" xfId="1" applyFont="1" applyFill="1" applyBorder="1" applyAlignment="1">
      <alignment horizontal="right"/>
    </xf>
    <xf numFmtId="168" fontId="23" fillId="2" borderId="0" xfId="1" applyNumberFormat="1" applyFont="1" applyFill="1" applyAlignment="1">
      <alignment horizontal="left" vertical="center"/>
    </xf>
    <xf numFmtId="168" fontId="6" fillId="2" borderId="0" xfId="1" applyNumberFormat="1" applyFont="1" applyFill="1" applyAlignment="1">
      <alignment horizontal="center" vertical="center"/>
    </xf>
    <xf numFmtId="0" fontId="19" fillId="2" borderId="3" xfId="1" applyFont="1" applyFill="1" applyBorder="1" applyAlignment="1">
      <alignment horizontal="right"/>
    </xf>
    <xf numFmtId="0" fontId="31" fillId="2" borderId="8" xfId="1" applyFont="1" applyFill="1" applyBorder="1" applyAlignment="1">
      <alignment horizontal="right"/>
    </xf>
    <xf numFmtId="0" fontId="6" fillId="5" borderId="1" xfId="1" applyFont="1" applyFill="1" applyBorder="1" applyAlignment="1">
      <alignment horizontal="center" vertical="center" textRotation="90" wrapText="1"/>
    </xf>
    <xf numFmtId="0" fontId="8" fillId="5" borderId="21" xfId="1" applyFont="1" applyFill="1" applyBorder="1" applyAlignment="1" applyProtection="1">
      <alignment horizontal="center" vertical="center"/>
      <protection locked="0"/>
    </xf>
    <xf numFmtId="1" fontId="6" fillId="2" borderId="25" xfId="1" applyNumberFormat="1" applyFont="1" applyFill="1" applyBorder="1" applyAlignment="1">
      <alignment horizontal="center" vertical="center"/>
    </xf>
    <xf numFmtId="1" fontId="6" fillId="2" borderId="26" xfId="1" applyNumberFormat="1" applyFont="1" applyFill="1" applyBorder="1" applyAlignment="1">
      <alignment horizontal="center" vertical="center"/>
    </xf>
    <xf numFmtId="1" fontId="6" fillId="2" borderId="27" xfId="1" applyNumberFormat="1" applyFont="1" applyFill="1" applyBorder="1" applyAlignment="1">
      <alignment horizontal="center" vertical="center"/>
    </xf>
    <xf numFmtId="165" fontId="6" fillId="2" borderId="27" xfId="1" applyNumberFormat="1" applyFont="1" applyFill="1" applyBorder="1" applyAlignment="1">
      <alignment horizontal="center" vertical="center"/>
    </xf>
    <xf numFmtId="0" fontId="35" fillId="2" borderId="0" xfId="1" applyFont="1" applyFill="1" applyAlignment="1">
      <alignment horizontal="left" vertical="center"/>
    </xf>
    <xf numFmtId="0" fontId="14" fillId="2" borderId="0" xfId="1" applyFont="1" applyFill="1" applyAlignment="1">
      <alignment horizontal="right"/>
    </xf>
    <xf numFmtId="0" fontId="15" fillId="2" borderId="0" xfId="1" applyFill="1" applyAlignment="1">
      <alignment horizontal="center" vertical="center" wrapText="1"/>
    </xf>
    <xf numFmtId="1" fontId="18" fillId="2" borderId="0" xfId="1" applyNumberFormat="1" applyFont="1" applyFill="1" applyAlignment="1">
      <alignment horizontal="center"/>
    </xf>
    <xf numFmtId="165" fontId="15" fillId="2" borderId="0" xfId="1" applyNumberFormat="1" applyFill="1" applyAlignment="1">
      <alignment horizontal="center"/>
    </xf>
    <xf numFmtId="0" fontId="36" fillId="2" borderId="0" xfId="1" applyFont="1" applyFill="1" applyAlignment="1">
      <alignment horizontal="right"/>
    </xf>
    <xf numFmtId="0" fontId="37" fillId="2" borderId="0" xfId="1" applyFont="1" applyFill="1" applyAlignment="1">
      <alignment horizontal="center" vertical="center"/>
    </xf>
    <xf numFmtId="0" fontId="38" fillId="6" borderId="47" xfId="0" applyFont="1" applyFill="1" applyBorder="1"/>
    <xf numFmtId="0" fontId="38" fillId="6" borderId="48" xfId="0" applyFont="1" applyFill="1" applyBorder="1"/>
    <xf numFmtId="0" fontId="39" fillId="6" borderId="50" xfId="0" applyFont="1" applyFill="1" applyBorder="1" applyAlignment="1">
      <alignment vertical="center"/>
    </xf>
    <xf numFmtId="0" fontId="40" fillId="6" borderId="0" xfId="0" applyFont="1" applyFill="1"/>
    <xf numFmtId="0" fontId="39" fillId="6" borderId="51" xfId="0" applyFont="1" applyFill="1" applyBorder="1" applyAlignment="1">
      <alignment horizontal="right" vertical="center"/>
    </xf>
    <xf numFmtId="0" fontId="41" fillId="6" borderId="52" xfId="0" applyFont="1" applyFill="1" applyBorder="1" applyAlignment="1">
      <alignment horizontal="center" vertical="center"/>
    </xf>
    <xf numFmtId="0" fontId="41" fillId="6" borderId="49" xfId="0" applyFont="1" applyFill="1" applyBorder="1" applyAlignment="1">
      <alignment vertical="center"/>
    </xf>
    <xf numFmtId="0" fontId="41" fillId="6" borderId="50" xfId="0" applyFont="1" applyFill="1" applyBorder="1" applyAlignment="1">
      <alignment horizontal="left" vertical="center"/>
    </xf>
    <xf numFmtId="0" fontId="41" fillId="6" borderId="55" xfId="0" applyFont="1" applyFill="1" applyBorder="1" applyAlignment="1">
      <alignment horizontal="center" vertical="center"/>
    </xf>
    <xf numFmtId="0" fontId="44" fillId="2" borderId="0" xfId="1" applyFont="1" applyFill="1" applyAlignment="1">
      <alignment horizontal="right"/>
    </xf>
    <xf numFmtId="2" fontId="44" fillId="2" borderId="0" xfId="1" applyNumberFormat="1" applyFont="1" applyFill="1"/>
    <xf numFmtId="165" fontId="44" fillId="2" borderId="0" xfId="1" applyNumberFormat="1" applyFont="1" applyFill="1"/>
    <xf numFmtId="0" fontId="45" fillId="2" borderId="0" xfId="1" applyFont="1" applyFill="1" applyAlignment="1">
      <alignment horizontal="right"/>
    </xf>
    <xf numFmtId="0" fontId="46" fillId="6" borderId="50" xfId="0" applyFont="1" applyFill="1" applyBorder="1" applyAlignment="1">
      <alignment horizontal="center"/>
    </xf>
    <xf numFmtId="1" fontId="43" fillId="6" borderId="50" xfId="0" applyNumberFormat="1" applyFont="1" applyFill="1" applyBorder="1" applyAlignment="1">
      <alignment horizontal="center" vertical="center"/>
    </xf>
    <xf numFmtId="2" fontId="41" fillId="6" borderId="55" xfId="0" applyNumberFormat="1" applyFont="1" applyFill="1" applyBorder="1" applyAlignment="1">
      <alignment horizontal="center" vertical="center"/>
    </xf>
    <xf numFmtId="170" fontId="41" fillId="6" borderId="52" xfId="0" applyNumberFormat="1" applyFont="1" applyFill="1" applyBorder="1" applyAlignment="1">
      <alignment horizontal="left" vertical="center"/>
    </xf>
    <xf numFmtId="0" fontId="41" fillId="6" borderId="52" xfId="0" applyFont="1" applyFill="1" applyBorder="1" applyAlignment="1">
      <alignment horizontal="right" vertical="center"/>
    </xf>
    <xf numFmtId="165" fontId="47" fillId="6" borderId="49" xfId="1" applyNumberFormat="1" applyFont="1" applyFill="1" applyBorder="1" applyAlignment="1">
      <alignment horizontal="left" vertical="center"/>
    </xf>
    <xf numFmtId="165" fontId="48" fillId="6" borderId="50" xfId="1" applyNumberFormat="1" applyFont="1" applyFill="1" applyBorder="1"/>
    <xf numFmtId="165" fontId="47" fillId="6" borderId="50" xfId="1" applyNumberFormat="1" applyFont="1" applyFill="1" applyBorder="1" applyAlignment="1">
      <alignment horizontal="left" vertical="center"/>
    </xf>
    <xf numFmtId="165" fontId="49" fillId="6" borderId="50" xfId="1" applyNumberFormat="1" applyFont="1" applyFill="1" applyBorder="1" applyAlignment="1">
      <alignment horizontal="left" vertical="center"/>
    </xf>
    <xf numFmtId="165" fontId="48" fillId="6" borderId="52" xfId="1" applyNumberFormat="1" applyFont="1" applyFill="1" applyBorder="1"/>
    <xf numFmtId="165" fontId="52" fillId="6" borderId="50" xfId="1" applyNumberFormat="1" applyFont="1" applyFill="1" applyBorder="1" applyAlignment="1">
      <alignment horizontal="right" vertical="center"/>
    </xf>
    <xf numFmtId="165" fontId="52" fillId="6" borderId="54" xfId="1" applyNumberFormat="1" applyFont="1" applyFill="1" applyBorder="1" applyAlignment="1">
      <alignment horizontal="right" vertical="center"/>
    </xf>
    <xf numFmtId="165" fontId="47" fillId="6" borderId="52" xfId="1" applyNumberFormat="1" applyFont="1" applyFill="1" applyBorder="1" applyAlignment="1">
      <alignment horizontal="left" vertical="center"/>
    </xf>
    <xf numFmtId="164" fontId="15" fillId="2" borderId="1" xfId="1" applyNumberFormat="1" applyFill="1" applyBorder="1"/>
    <xf numFmtId="164" fontId="4" fillId="2" borderId="2" xfId="1" applyNumberFormat="1" applyFont="1" applyFill="1" applyBorder="1" applyAlignment="1">
      <alignment horizontal="right"/>
    </xf>
    <xf numFmtId="164" fontId="4" fillId="2" borderId="1" xfId="1" applyNumberFormat="1" applyFont="1" applyFill="1" applyBorder="1" applyAlignment="1">
      <alignment horizontal="right"/>
    </xf>
    <xf numFmtId="164" fontId="15" fillId="2" borderId="2" xfId="1" applyNumberFormat="1" applyFill="1" applyBorder="1"/>
    <xf numFmtId="164" fontId="4" fillId="2" borderId="3" xfId="1" applyNumberFormat="1" applyFont="1" applyFill="1" applyBorder="1" applyAlignment="1">
      <alignment horizontal="right"/>
    </xf>
    <xf numFmtId="164" fontId="15" fillId="2" borderId="0" xfId="1" applyNumberFormat="1" applyFill="1"/>
    <xf numFmtId="164" fontId="15" fillId="2" borderId="4" xfId="1" applyNumberFormat="1" applyFill="1" applyBorder="1"/>
    <xf numFmtId="164" fontId="5" fillId="2" borderId="0" xfId="1" applyNumberFormat="1" applyFont="1" applyFill="1" applyAlignment="1">
      <alignment horizontal="center"/>
    </xf>
    <xf numFmtId="164" fontId="5" fillId="2" borderId="4" xfId="1" applyNumberFormat="1" applyFont="1" applyFill="1" applyBorder="1" applyAlignment="1">
      <alignment horizontal="center"/>
    </xf>
    <xf numFmtId="164" fontId="4" fillId="2" borderId="0" xfId="1" applyNumberFormat="1" applyFont="1" applyFill="1" applyAlignment="1">
      <alignment horizontal="right"/>
    </xf>
    <xf numFmtId="164" fontId="6" fillId="2" borderId="0" xfId="1" applyNumberFormat="1" applyFont="1" applyFill="1" applyAlignment="1">
      <alignment horizontal="center"/>
    </xf>
    <xf numFmtId="164" fontId="6" fillId="2" borderId="5" xfId="1" applyNumberFormat="1" applyFont="1" applyFill="1" applyBorder="1" applyAlignment="1">
      <alignment horizontal="center"/>
    </xf>
    <xf numFmtId="164" fontId="4" fillId="2" borderId="4" xfId="1" applyNumberFormat="1" applyFont="1" applyFill="1" applyBorder="1" applyAlignment="1">
      <alignment horizontal="right"/>
    </xf>
    <xf numFmtId="164" fontId="8" fillId="2" borderId="0" xfId="1" applyNumberFormat="1" applyFont="1" applyFill="1" applyAlignment="1">
      <alignment horizontal="center"/>
    </xf>
    <xf numFmtId="164" fontId="8" fillId="2" borderId="4" xfId="1" applyNumberFormat="1" applyFont="1" applyFill="1" applyBorder="1" applyAlignment="1">
      <alignment horizontal="center"/>
    </xf>
    <xf numFmtId="171" fontId="6" fillId="2" borderId="5" xfId="1" applyNumberFormat="1" applyFont="1" applyFill="1" applyBorder="1" applyAlignment="1">
      <alignment horizontal="center"/>
    </xf>
    <xf numFmtId="164" fontId="15" fillId="2" borderId="6" xfId="1" applyNumberFormat="1" applyFill="1" applyBorder="1"/>
    <xf numFmtId="164" fontId="4" fillId="2" borderId="7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164" fontId="15" fillId="2" borderId="7" xfId="1" applyNumberFormat="1" applyFill="1" applyBorder="1"/>
    <xf numFmtId="164" fontId="4" fillId="2" borderId="8" xfId="1" applyNumberFormat="1" applyFont="1" applyFill="1" applyBorder="1" applyAlignment="1">
      <alignment horizontal="right"/>
    </xf>
    <xf numFmtId="164" fontId="14" fillId="2" borderId="12" xfId="1" applyNumberFormat="1" applyFont="1" applyFill="1" applyBorder="1" applyAlignment="1">
      <alignment vertical="center"/>
    </xf>
    <xf numFmtId="164" fontId="10" fillId="2" borderId="0" xfId="1" applyNumberFormat="1" applyFont="1" applyFill="1" applyAlignment="1">
      <alignment horizontal="left" vertical="center"/>
    </xf>
    <xf numFmtId="164" fontId="14" fillId="2" borderId="9" xfId="1" applyNumberFormat="1" applyFont="1" applyFill="1" applyBorder="1" applyAlignment="1">
      <alignment vertical="center"/>
    </xf>
    <xf numFmtId="164" fontId="14" fillId="2" borderId="0" xfId="1" applyNumberFormat="1" applyFont="1" applyFill="1" applyAlignment="1">
      <alignment vertical="center"/>
    </xf>
    <xf numFmtId="164" fontId="14" fillId="2" borderId="19" xfId="1" applyNumberFormat="1" applyFont="1" applyFill="1" applyBorder="1" applyAlignment="1">
      <alignment vertical="center"/>
    </xf>
    <xf numFmtId="164" fontId="15" fillId="2" borderId="14" xfId="1" applyNumberFormat="1" applyFill="1" applyBorder="1"/>
    <xf numFmtId="164" fontId="10" fillId="2" borderId="11" xfId="1" applyNumberFormat="1" applyFont="1" applyFill="1" applyBorder="1" applyAlignment="1">
      <alignment horizontal="right" vertical="center"/>
    </xf>
    <xf numFmtId="164" fontId="15" fillId="2" borderId="12" xfId="1" applyNumberFormat="1" applyFill="1" applyBorder="1"/>
    <xf numFmtId="164" fontId="15" fillId="2" borderId="9" xfId="1" applyNumberFormat="1" applyFill="1" applyBorder="1"/>
    <xf numFmtId="1" fontId="10" fillId="2" borderId="15" xfId="1" applyNumberFormat="1" applyFont="1" applyFill="1" applyBorder="1" applyAlignment="1">
      <alignment horizontal="right" vertical="center"/>
    </xf>
    <xf numFmtId="164" fontId="15" fillId="2" borderId="10" xfId="1" applyNumberFormat="1" applyFill="1" applyBorder="1"/>
    <xf numFmtId="1" fontId="6" fillId="2" borderId="11" xfId="1" applyNumberFormat="1" applyFont="1" applyFill="1" applyBorder="1" applyAlignment="1">
      <alignment horizontal="right" vertical="center"/>
    </xf>
    <xf numFmtId="164" fontId="15" fillId="2" borderId="16" xfId="1" applyNumberFormat="1" applyFill="1" applyBorder="1"/>
    <xf numFmtId="1" fontId="6" fillId="2" borderId="15" xfId="1" applyNumberFormat="1" applyFont="1" applyFill="1" applyBorder="1" applyAlignment="1">
      <alignment horizontal="right" vertical="center"/>
    </xf>
    <xf numFmtId="165" fontId="15" fillId="2" borderId="12" xfId="1" applyNumberFormat="1" applyFill="1" applyBorder="1"/>
    <xf numFmtId="165" fontId="6" fillId="2" borderId="13" xfId="1" applyNumberFormat="1" applyFont="1" applyFill="1" applyBorder="1" applyAlignment="1">
      <alignment horizontal="right" vertical="center"/>
    </xf>
    <xf numFmtId="165" fontId="15" fillId="2" borderId="0" xfId="1" applyNumberFormat="1" applyFill="1"/>
    <xf numFmtId="165" fontId="15" fillId="2" borderId="9" xfId="1" applyNumberFormat="1" applyFill="1" applyBorder="1"/>
    <xf numFmtId="165" fontId="15" fillId="2" borderId="14" xfId="1" applyNumberFormat="1" applyFill="1" applyBorder="1"/>
    <xf numFmtId="165" fontId="6" fillId="2" borderId="15" xfId="1" applyNumberFormat="1" applyFont="1" applyFill="1" applyBorder="1" applyAlignment="1">
      <alignment horizontal="right" vertical="center"/>
    </xf>
    <xf numFmtId="2" fontId="6" fillId="2" borderId="15" xfId="1" applyNumberFormat="1" applyFont="1" applyFill="1" applyBorder="1" applyAlignment="1">
      <alignment horizontal="right" vertical="center"/>
    </xf>
    <xf numFmtId="2" fontId="6" fillId="2" borderId="13" xfId="1" applyNumberFormat="1" applyFont="1" applyFill="1" applyBorder="1" applyAlignment="1">
      <alignment horizontal="right" vertical="center"/>
    </xf>
    <xf numFmtId="164" fontId="6" fillId="2" borderId="18" xfId="1" applyNumberFormat="1" applyFont="1" applyFill="1" applyBorder="1" applyAlignment="1">
      <alignment horizontal="right" vertical="center"/>
    </xf>
    <xf numFmtId="164" fontId="14" fillId="2" borderId="17" xfId="1" applyNumberFormat="1" applyFont="1" applyFill="1" applyBorder="1" applyAlignment="1">
      <alignment vertical="center"/>
    </xf>
    <xf numFmtId="164" fontId="10" fillId="2" borderId="0" xfId="1" applyNumberFormat="1" applyFont="1" applyFill="1" applyAlignment="1">
      <alignment horizontal="right" vertical="center"/>
    </xf>
    <xf numFmtId="165" fontId="6" fillId="2" borderId="11" xfId="1" applyNumberFormat="1" applyFont="1" applyFill="1" applyBorder="1" applyAlignment="1">
      <alignment horizontal="right" vertical="center"/>
    </xf>
    <xf numFmtId="164" fontId="6" fillId="2" borderId="15" xfId="1" applyNumberFormat="1" applyFont="1" applyFill="1" applyBorder="1" applyAlignment="1">
      <alignment horizontal="right" vertical="center"/>
    </xf>
    <xf numFmtId="1" fontId="6" fillId="2" borderId="13" xfId="1" applyNumberFormat="1" applyFont="1" applyFill="1" applyBorder="1" applyAlignment="1">
      <alignment horizontal="right" vertical="center"/>
    </xf>
    <xf numFmtId="165" fontId="15" fillId="2" borderId="17" xfId="1" applyNumberFormat="1" applyFill="1" applyBorder="1"/>
    <xf numFmtId="165" fontId="15" fillId="2" borderId="16" xfId="1" applyNumberFormat="1" applyFill="1" applyBorder="1"/>
    <xf numFmtId="166" fontId="4" fillId="2" borderId="0" xfId="1" applyNumberFormat="1" applyFont="1" applyFill="1" applyAlignment="1">
      <alignment horizontal="right"/>
    </xf>
    <xf numFmtId="164" fontId="61" fillId="2" borderId="0" xfId="1" applyNumberFormat="1" applyFont="1" applyFill="1"/>
    <xf numFmtId="164" fontId="62" fillId="2" borderId="0" xfId="1" applyNumberFormat="1" applyFont="1" applyFill="1" applyAlignment="1">
      <alignment horizontal="right"/>
    </xf>
    <xf numFmtId="164" fontId="63" fillId="2" borderId="0" xfId="1" applyNumberFormat="1" applyFont="1" applyFill="1" applyAlignment="1">
      <alignment horizontal="right"/>
    </xf>
    <xf numFmtId="164" fontId="36" fillId="2" borderId="0" xfId="1" applyNumberFormat="1" applyFont="1" applyFill="1"/>
    <xf numFmtId="164" fontId="4" fillId="2" borderId="15" xfId="1" applyNumberFormat="1" applyFont="1" applyFill="1" applyBorder="1" applyAlignment="1">
      <alignment horizontal="right"/>
    </xf>
    <xf numFmtId="164" fontId="4" fillId="2" borderId="14" xfId="1" applyNumberFormat="1" applyFont="1" applyFill="1" applyBorder="1" applyAlignment="1">
      <alignment horizontal="right"/>
    </xf>
    <xf numFmtId="1" fontId="6" fillId="2" borderId="29" xfId="1" applyNumberFormat="1" applyFont="1" applyFill="1" applyBorder="1" applyAlignment="1">
      <alignment horizontal="center"/>
    </xf>
    <xf numFmtId="1" fontId="6" fillId="2" borderId="15" xfId="1" applyNumberFormat="1" applyFont="1" applyFill="1" applyBorder="1" applyAlignment="1">
      <alignment horizontal="center"/>
    </xf>
    <xf numFmtId="165" fontId="6" fillId="2" borderId="15" xfId="1" applyNumberFormat="1" applyFont="1" applyFill="1" applyBorder="1" applyAlignment="1">
      <alignment horizontal="center"/>
    </xf>
    <xf numFmtId="1" fontId="6" fillId="2" borderId="38" xfId="1" applyNumberFormat="1" applyFont="1" applyFill="1" applyBorder="1" applyAlignment="1">
      <alignment horizontal="center" vertical="center"/>
    </xf>
    <xf numFmtId="2" fontId="16" fillId="2" borderId="0" xfId="1" applyNumberFormat="1" applyFont="1" applyFill="1"/>
    <xf numFmtId="165" fontId="16" fillId="2" borderId="0" xfId="1" applyNumberFormat="1" applyFont="1" applyFill="1"/>
    <xf numFmtId="164" fontId="10" fillId="2" borderId="15" xfId="1" applyNumberFormat="1" applyFont="1" applyFill="1" applyBorder="1" applyAlignment="1">
      <alignment horizontal="left" vertical="center"/>
    </xf>
    <xf numFmtId="164" fontId="36" fillId="2" borderId="0" xfId="0" applyNumberFormat="1" applyFont="1" applyFill="1"/>
    <xf numFmtId="164" fontId="63" fillId="2" borderId="0" xfId="0" applyNumberFormat="1" applyFont="1" applyFill="1" applyAlignment="1">
      <alignment horizontal="right"/>
    </xf>
    <xf numFmtId="164" fontId="64" fillId="2" borderId="0" xfId="0" applyNumberFormat="1" applyFont="1" applyFill="1"/>
    <xf numFmtId="164" fontId="65" fillId="2" borderId="0" xfId="0" applyNumberFormat="1" applyFont="1" applyFill="1" applyAlignment="1">
      <alignment horizontal="right"/>
    </xf>
    <xf numFmtId="0" fontId="2" fillId="0" borderId="0" xfId="2"/>
    <xf numFmtId="0" fontId="2" fillId="3" borderId="0" xfId="2" applyFill="1"/>
    <xf numFmtId="0" fontId="3" fillId="7" borderId="0" xfId="2" applyFont="1" applyFill="1"/>
    <xf numFmtId="0" fontId="2" fillId="3" borderId="0" xfId="2" applyFill="1" applyAlignment="1">
      <alignment horizontal="center"/>
    </xf>
    <xf numFmtId="0" fontId="2" fillId="3" borderId="4" xfId="2" applyFill="1" applyBorder="1" applyAlignment="1">
      <alignment horizontal="center"/>
    </xf>
    <xf numFmtId="0" fontId="2" fillId="3" borderId="5" xfId="2" applyFill="1" applyBorder="1" applyAlignment="1">
      <alignment horizontal="center"/>
    </xf>
    <xf numFmtId="0" fontId="2" fillId="3" borderId="34" xfId="2" applyFill="1" applyBorder="1" applyAlignment="1">
      <alignment horizontal="center"/>
    </xf>
    <xf numFmtId="0" fontId="2" fillId="0" borderId="0" xfId="2" applyAlignment="1">
      <alignment horizontal="right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/>
    </xf>
    <xf numFmtId="0" fontId="2" fillId="3" borderId="0" xfId="2" applyFill="1" applyAlignment="1">
      <alignment horizontal="center" vertical="center"/>
    </xf>
    <xf numFmtId="0" fontId="2" fillId="3" borderId="1" xfId="2" applyFill="1" applyBorder="1" applyAlignment="1">
      <alignment horizontal="center"/>
    </xf>
    <xf numFmtId="0" fontId="2" fillId="3" borderId="2" xfId="2" applyFill="1" applyBorder="1" applyAlignment="1">
      <alignment horizontal="center"/>
    </xf>
    <xf numFmtId="0" fontId="2" fillId="3" borderId="3" xfId="2" applyFill="1" applyBorder="1" applyAlignment="1">
      <alignment horizontal="center"/>
    </xf>
    <xf numFmtId="0" fontId="2" fillId="3" borderId="33" xfId="2" applyFill="1" applyBorder="1" applyAlignment="1">
      <alignment horizontal="center"/>
    </xf>
    <xf numFmtId="2" fontId="2" fillId="3" borderId="0" xfId="2" applyNumberFormat="1" applyFill="1" applyAlignment="1">
      <alignment horizontal="center" vertical="center"/>
    </xf>
    <xf numFmtId="2" fontId="3" fillId="3" borderId="0" xfId="2" applyNumberFormat="1" applyFont="1" applyFill="1" applyAlignment="1">
      <alignment horizontal="center"/>
    </xf>
    <xf numFmtId="164" fontId="2" fillId="3" borderId="0" xfId="2" applyNumberFormat="1" applyFill="1" applyAlignment="1">
      <alignment horizontal="center"/>
    </xf>
    <xf numFmtId="165" fontId="15" fillId="3" borderId="0" xfId="1" applyNumberFormat="1" applyFill="1" applyAlignment="1">
      <alignment horizontal="center"/>
    </xf>
    <xf numFmtId="1" fontId="2" fillId="3" borderId="0" xfId="2" applyNumberFormat="1" applyFill="1" applyAlignment="1">
      <alignment horizontal="center"/>
    </xf>
    <xf numFmtId="165" fontId="2" fillId="3" borderId="0" xfId="2" applyNumberFormat="1" applyFill="1" applyAlignment="1">
      <alignment horizontal="center"/>
    </xf>
    <xf numFmtId="165" fontId="2" fillId="3" borderId="4" xfId="2" applyNumberFormat="1" applyFill="1" applyBorder="1" applyAlignment="1">
      <alignment horizontal="center"/>
    </xf>
    <xf numFmtId="165" fontId="2" fillId="3" borderId="5" xfId="2" applyNumberFormat="1" applyFill="1" applyBorder="1" applyAlignment="1">
      <alignment horizontal="center"/>
    </xf>
    <xf numFmtId="1" fontId="2" fillId="3" borderId="34" xfId="2" applyNumberFormat="1" applyFill="1" applyBorder="1" applyAlignment="1">
      <alignment horizontal="center"/>
    </xf>
    <xf numFmtId="165" fontId="3" fillId="3" borderId="0" xfId="2" applyNumberFormat="1" applyFont="1" applyFill="1" applyAlignment="1">
      <alignment horizontal="center"/>
    </xf>
    <xf numFmtId="0" fontId="66" fillId="7" borderId="0" xfId="2" applyFont="1" applyFill="1" applyAlignment="1">
      <alignment horizontal="center"/>
    </xf>
    <xf numFmtId="1" fontId="2" fillId="0" borderId="0" xfId="2" applyNumberFormat="1" applyAlignment="1">
      <alignment horizontal="center" vertical="center"/>
    </xf>
    <xf numFmtId="0" fontId="3" fillId="3" borderId="0" xfId="2" applyFont="1" applyFill="1" applyAlignment="1">
      <alignment horizontal="right"/>
    </xf>
    <xf numFmtId="2" fontId="2" fillId="7" borderId="0" xfId="2" applyNumberFormat="1" applyFill="1" applyAlignment="1">
      <alignment horizontal="center" vertical="center"/>
    </xf>
    <xf numFmtId="2" fontId="3" fillId="7" borderId="0" xfId="2" applyNumberFormat="1" applyFont="1" applyFill="1" applyAlignment="1">
      <alignment horizontal="center"/>
    </xf>
    <xf numFmtId="164" fontId="2" fillId="7" borderId="0" xfId="2" applyNumberFormat="1" applyFill="1" applyAlignment="1">
      <alignment horizontal="center"/>
    </xf>
    <xf numFmtId="165" fontId="15" fillId="7" borderId="0" xfId="1" applyNumberFormat="1" applyFill="1" applyAlignment="1">
      <alignment horizontal="center"/>
    </xf>
    <xf numFmtId="1" fontId="2" fillId="7" borderId="0" xfId="2" applyNumberFormat="1" applyFill="1" applyAlignment="1">
      <alignment horizontal="center"/>
    </xf>
    <xf numFmtId="165" fontId="2" fillId="7" borderId="0" xfId="2" applyNumberFormat="1" applyFill="1" applyAlignment="1">
      <alignment horizontal="center"/>
    </xf>
    <xf numFmtId="165" fontId="2" fillId="7" borderId="4" xfId="2" applyNumberFormat="1" applyFill="1" applyBorder="1" applyAlignment="1">
      <alignment horizontal="center"/>
    </xf>
    <xf numFmtId="165" fontId="2" fillId="7" borderId="5" xfId="2" applyNumberFormat="1" applyFill="1" applyBorder="1" applyAlignment="1">
      <alignment horizontal="center"/>
    </xf>
    <xf numFmtId="1" fontId="2" fillId="7" borderId="34" xfId="2" applyNumberFormat="1" applyFill="1" applyBorder="1" applyAlignment="1">
      <alignment horizontal="center"/>
    </xf>
    <xf numFmtId="165" fontId="3" fillId="7" borderId="0" xfId="2" applyNumberFormat="1" applyFont="1" applyFill="1" applyAlignment="1">
      <alignment horizontal="center"/>
    </xf>
    <xf numFmtId="165" fontId="2" fillId="0" borderId="0" xfId="2" applyNumberFormat="1" applyAlignment="1">
      <alignment horizontal="center" vertical="center"/>
    </xf>
    <xf numFmtId="0" fontId="2" fillId="3" borderId="0" xfId="2" applyFill="1" applyAlignment="1">
      <alignment horizontal="right"/>
    </xf>
    <xf numFmtId="2" fontId="6" fillId="4" borderId="11" xfId="0" applyNumberFormat="1" applyFont="1" applyFill="1" applyBorder="1" applyAlignment="1">
      <alignment horizontal="right"/>
    </xf>
    <xf numFmtId="2" fontId="6" fillId="4" borderId="15" xfId="0" applyNumberFormat="1" applyFont="1" applyFill="1" applyBorder="1" applyAlignment="1">
      <alignment horizontal="left"/>
    </xf>
    <xf numFmtId="2" fontId="6" fillId="4" borderId="13" xfId="0" applyNumberFormat="1" applyFont="1" applyFill="1" applyBorder="1" applyAlignment="1">
      <alignment horizontal="right"/>
    </xf>
    <xf numFmtId="2" fontId="2" fillId="3" borderId="0" xfId="2" applyNumberFormat="1" applyFill="1" applyAlignment="1">
      <alignment horizontal="center"/>
    </xf>
    <xf numFmtId="2" fontId="67" fillId="7" borderId="0" xfId="2" applyNumberFormat="1" applyFont="1" applyFill="1" applyAlignment="1">
      <alignment horizontal="left" vertical="center"/>
    </xf>
    <xf numFmtId="1" fontId="2" fillId="0" borderId="0" xfId="2" applyNumberFormat="1"/>
    <xf numFmtId="2" fontId="66" fillId="3" borderId="0" xfId="2" applyNumberFormat="1" applyFont="1" applyFill="1" applyAlignment="1">
      <alignment horizontal="center" vertical="center"/>
    </xf>
    <xf numFmtId="164" fontId="66" fillId="3" borderId="0" xfId="2" applyNumberFormat="1" applyFont="1" applyFill="1" applyAlignment="1">
      <alignment horizontal="center"/>
    </xf>
    <xf numFmtId="165" fontId="66" fillId="3" borderId="0" xfId="2" applyNumberFormat="1" applyFont="1" applyFill="1" applyAlignment="1">
      <alignment horizontal="center"/>
    </xf>
    <xf numFmtId="1" fontId="66" fillId="3" borderId="0" xfId="2" applyNumberFormat="1" applyFont="1" applyFill="1" applyAlignment="1">
      <alignment horizontal="center"/>
    </xf>
    <xf numFmtId="2" fontId="66" fillId="3" borderId="0" xfId="2" applyNumberFormat="1" applyFont="1" applyFill="1" applyAlignment="1">
      <alignment horizontal="center"/>
    </xf>
    <xf numFmtId="165" fontId="66" fillId="3" borderId="4" xfId="2" applyNumberFormat="1" applyFont="1" applyFill="1" applyBorder="1" applyAlignment="1">
      <alignment horizontal="center"/>
    </xf>
    <xf numFmtId="165" fontId="66" fillId="3" borderId="5" xfId="2" applyNumberFormat="1" applyFont="1" applyFill="1" applyBorder="1" applyAlignment="1">
      <alignment horizontal="center"/>
    </xf>
    <xf numFmtId="1" fontId="66" fillId="3" borderId="34" xfId="2" applyNumberFormat="1" applyFont="1" applyFill="1" applyBorder="1" applyAlignment="1">
      <alignment horizontal="center"/>
    </xf>
    <xf numFmtId="165" fontId="68" fillId="3" borderId="0" xfId="2" applyNumberFormat="1" applyFont="1" applyFill="1" applyAlignment="1">
      <alignment horizontal="center"/>
    </xf>
    <xf numFmtId="2" fontId="2" fillId="7" borderId="0" xfId="2" applyNumberFormat="1" applyFill="1" applyAlignment="1">
      <alignment horizontal="center"/>
    </xf>
    <xf numFmtId="1" fontId="15" fillId="3" borderId="0" xfId="1" applyNumberFormat="1" applyFill="1" applyAlignment="1">
      <alignment horizontal="center"/>
    </xf>
    <xf numFmtId="2" fontId="15" fillId="3" borderId="0" xfId="1" applyNumberFormat="1" applyFill="1" applyAlignment="1">
      <alignment horizontal="center"/>
    </xf>
    <xf numFmtId="1" fontId="15" fillId="7" borderId="0" xfId="1" applyNumberFormat="1" applyFill="1" applyAlignment="1">
      <alignment horizontal="center"/>
    </xf>
    <xf numFmtId="2" fontId="15" fillId="7" borderId="0" xfId="1" applyNumberFormat="1" applyFill="1" applyAlignment="1">
      <alignment horizontal="center"/>
    </xf>
    <xf numFmtId="0" fontId="15" fillId="7" borderId="0" xfId="1" applyFill="1" applyAlignment="1">
      <alignment horizontal="center"/>
    </xf>
    <xf numFmtId="0" fontId="15" fillId="3" borderId="0" xfId="1" applyFill="1" applyAlignment="1">
      <alignment horizontal="center"/>
    </xf>
    <xf numFmtId="1" fontId="2" fillId="3" borderId="24" xfId="2" applyNumberFormat="1" applyFill="1" applyBorder="1" applyAlignment="1">
      <alignment horizontal="center"/>
    </xf>
    <xf numFmtId="0" fontId="2" fillId="7" borderId="0" xfId="2" applyFill="1" applyAlignment="1">
      <alignment horizontal="center"/>
    </xf>
    <xf numFmtId="1" fontId="3" fillId="7" borderId="0" xfId="2" applyNumberFormat="1" applyFont="1" applyFill="1" applyAlignment="1">
      <alignment horizontal="center"/>
    </xf>
    <xf numFmtId="2" fontId="3" fillId="7" borderId="24" xfId="2" applyNumberFormat="1" applyFont="1" applyFill="1" applyBorder="1" applyAlignment="1">
      <alignment horizontal="center"/>
    </xf>
    <xf numFmtId="1" fontId="10" fillId="3" borderId="15" xfId="0" applyNumberFormat="1" applyFont="1" applyFill="1" applyBorder="1" applyAlignment="1">
      <alignment horizontal="right"/>
    </xf>
    <xf numFmtId="164" fontId="12" fillId="4" borderId="15" xfId="0" applyNumberFormat="1" applyFont="1" applyFill="1" applyBorder="1" applyAlignment="1">
      <alignment horizontal="left"/>
    </xf>
    <xf numFmtId="1" fontId="10" fillId="4" borderId="13" xfId="0" applyNumberFormat="1" applyFont="1" applyFill="1" applyBorder="1" applyAlignment="1">
      <alignment horizontal="right"/>
    </xf>
    <xf numFmtId="1" fontId="10" fillId="2" borderId="13" xfId="0" applyNumberFormat="1" applyFont="1" applyFill="1" applyBorder="1" applyAlignment="1">
      <alignment horizontal="right"/>
    </xf>
    <xf numFmtId="1" fontId="8" fillId="8" borderId="28" xfId="1" applyNumberFormat="1" applyFont="1" applyFill="1" applyBorder="1" applyAlignment="1" applyProtection="1">
      <alignment horizontal="center" vertical="center"/>
      <protection locked="0"/>
    </xf>
    <xf numFmtId="0" fontId="10" fillId="2" borderId="38" xfId="1" applyFont="1" applyFill="1" applyBorder="1" applyAlignment="1">
      <alignment horizontal="center"/>
    </xf>
    <xf numFmtId="1" fontId="6" fillId="5" borderId="39" xfId="1" applyNumberFormat="1" applyFont="1" applyFill="1" applyBorder="1" applyAlignment="1" applyProtection="1">
      <alignment horizontal="center"/>
      <protection locked="0"/>
    </xf>
    <xf numFmtId="1" fontId="6" fillId="5" borderId="40" xfId="1" applyNumberFormat="1" applyFont="1" applyFill="1" applyBorder="1" applyAlignment="1" applyProtection="1">
      <alignment horizontal="center"/>
      <protection locked="0"/>
    </xf>
    <xf numFmtId="1" fontId="6" fillId="5" borderId="41" xfId="1" applyNumberFormat="1" applyFont="1" applyFill="1" applyBorder="1" applyAlignment="1" applyProtection="1">
      <alignment horizontal="center"/>
      <protection locked="0"/>
    </xf>
    <xf numFmtId="1" fontId="6" fillId="5" borderId="42" xfId="1" applyNumberFormat="1" applyFont="1" applyFill="1" applyBorder="1" applyAlignment="1" applyProtection="1">
      <alignment horizontal="center"/>
      <protection locked="0"/>
    </xf>
    <xf numFmtId="1" fontId="6" fillId="5" borderId="18" xfId="1" applyNumberFormat="1" applyFont="1" applyFill="1" applyBorder="1" applyAlignment="1" applyProtection="1">
      <alignment horizontal="center"/>
      <protection locked="0"/>
    </xf>
    <xf numFmtId="1" fontId="6" fillId="5" borderId="43" xfId="1" applyNumberFormat="1" applyFont="1" applyFill="1" applyBorder="1" applyAlignment="1" applyProtection="1">
      <alignment horizontal="center"/>
      <protection locked="0"/>
    </xf>
    <xf numFmtId="1" fontId="6" fillId="5" borderId="44" xfId="1" applyNumberFormat="1" applyFont="1" applyFill="1" applyBorder="1" applyAlignment="1" applyProtection="1">
      <alignment horizontal="center"/>
      <protection locked="0"/>
    </xf>
    <xf numFmtId="1" fontId="6" fillId="5" borderId="45" xfId="1" applyNumberFormat="1" applyFont="1" applyFill="1" applyBorder="1" applyAlignment="1" applyProtection="1">
      <alignment horizontal="center"/>
      <protection locked="0"/>
    </xf>
    <xf numFmtId="1" fontId="6" fillId="5" borderId="46" xfId="1" applyNumberFormat="1" applyFont="1" applyFill="1" applyBorder="1" applyAlignment="1" applyProtection="1">
      <alignment horizontal="center"/>
      <protection locked="0"/>
    </xf>
    <xf numFmtId="165" fontId="6" fillId="5" borderId="40" xfId="1" applyNumberFormat="1" applyFont="1" applyFill="1" applyBorder="1" applyAlignment="1" applyProtection="1">
      <alignment horizontal="center"/>
      <protection locked="0"/>
    </xf>
    <xf numFmtId="165" fontId="6" fillId="5" borderId="41" xfId="1" applyNumberFormat="1" applyFont="1" applyFill="1" applyBorder="1" applyAlignment="1" applyProtection="1">
      <alignment horizontal="center"/>
      <protection locked="0"/>
    </xf>
    <xf numFmtId="165" fontId="6" fillId="5" borderId="18" xfId="1" applyNumberFormat="1" applyFont="1" applyFill="1" applyBorder="1" applyAlignment="1" applyProtection="1">
      <alignment horizontal="center"/>
      <protection locked="0"/>
    </xf>
    <xf numFmtId="165" fontId="6" fillId="5" borderId="43" xfId="1" applyNumberFormat="1" applyFont="1" applyFill="1" applyBorder="1" applyAlignment="1" applyProtection="1">
      <alignment horizontal="center"/>
      <protection locked="0"/>
    </xf>
    <xf numFmtId="165" fontId="6" fillId="5" borderId="45" xfId="1" applyNumberFormat="1" applyFont="1" applyFill="1" applyBorder="1" applyAlignment="1" applyProtection="1">
      <alignment horizontal="center"/>
      <protection locked="0"/>
    </xf>
    <xf numFmtId="165" fontId="6" fillId="5" borderId="46" xfId="1" applyNumberFormat="1" applyFont="1" applyFill="1" applyBorder="1" applyAlignment="1" applyProtection="1">
      <alignment horizontal="center"/>
      <protection locked="0"/>
    </xf>
    <xf numFmtId="1" fontId="10" fillId="2" borderId="13" xfId="1" applyNumberFormat="1" applyFont="1" applyFill="1" applyBorder="1" applyAlignment="1">
      <alignment horizontal="right" vertical="center"/>
    </xf>
    <xf numFmtId="1" fontId="10" fillId="2" borderId="20" xfId="1" applyNumberFormat="1" applyFont="1" applyFill="1" applyBorder="1" applyAlignment="1">
      <alignment horizontal="right" vertical="center"/>
    </xf>
    <xf numFmtId="1" fontId="6" fillId="2" borderId="56" xfId="1" applyNumberFormat="1" applyFont="1" applyFill="1" applyBorder="1" applyAlignment="1">
      <alignment horizontal="right" vertical="center"/>
    </xf>
    <xf numFmtId="1" fontId="6" fillId="2" borderId="20" xfId="1" applyNumberFormat="1" applyFont="1" applyFill="1" applyBorder="1" applyAlignment="1">
      <alignment horizontal="right" vertical="center"/>
    </xf>
    <xf numFmtId="165" fontId="6" fillId="2" borderId="57" xfId="1" applyNumberFormat="1" applyFont="1" applyFill="1" applyBorder="1" applyAlignment="1">
      <alignment horizontal="right" vertical="center"/>
    </xf>
    <xf numFmtId="165" fontId="6" fillId="2" borderId="20" xfId="1" applyNumberFormat="1" applyFont="1" applyFill="1" applyBorder="1" applyAlignment="1">
      <alignment horizontal="right" vertical="center"/>
    </xf>
    <xf numFmtId="0" fontId="24" fillId="2" borderId="4" xfId="1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3" xfId="1" applyFont="1" applyFill="1" applyBorder="1" applyAlignment="1">
      <alignment horizontal="right" vertical="center"/>
    </xf>
    <xf numFmtId="164" fontId="15" fillId="2" borderId="58" xfId="1" applyNumberFormat="1" applyFill="1" applyBorder="1"/>
    <xf numFmtId="165" fontId="15" fillId="2" borderId="59" xfId="1" applyNumberFormat="1" applyFill="1" applyBorder="1"/>
    <xf numFmtId="165" fontId="15" fillId="2" borderId="4" xfId="1" applyNumberFormat="1" applyFill="1" applyBorder="1"/>
    <xf numFmtId="1" fontId="16" fillId="2" borderId="0" xfId="1" applyNumberFormat="1" applyFont="1" applyFill="1" applyAlignment="1">
      <alignment horizontal="right" wrapText="1"/>
    </xf>
    <xf numFmtId="0" fontId="16" fillId="2" borderId="0" xfId="1" applyFont="1" applyFill="1" applyAlignment="1">
      <alignment horizontal="center" vertical="center" wrapText="1"/>
    </xf>
    <xf numFmtId="2" fontId="16" fillId="2" borderId="0" xfId="1" applyNumberFormat="1" applyFont="1" applyFill="1" applyAlignment="1">
      <alignment horizontal="center" vertical="center" wrapText="1"/>
    </xf>
    <xf numFmtId="165" fontId="16" fillId="2" borderId="0" xfId="1" applyNumberFormat="1" applyFont="1" applyFill="1" applyAlignment="1">
      <alignment horizontal="center" vertical="center" wrapText="1"/>
    </xf>
    <xf numFmtId="0" fontId="36" fillId="2" borderId="0" xfId="1" applyFont="1" applyFill="1" applyAlignment="1">
      <alignment horizontal="right" vertical="center"/>
    </xf>
    <xf numFmtId="0" fontId="16" fillId="2" borderId="0" xfId="1" applyFont="1" applyFill="1" applyAlignment="1">
      <alignment horizontal="left" vertical="center"/>
    </xf>
    <xf numFmtId="1" fontId="16" fillId="2" borderId="0" xfId="1" applyNumberFormat="1" applyFont="1" applyFill="1" applyAlignment="1">
      <alignment horizontal="center" vertical="center"/>
    </xf>
    <xf numFmtId="0" fontId="16" fillId="2" borderId="1" xfId="1" applyFont="1" applyFill="1" applyBorder="1" applyAlignment="1">
      <alignment vertical="center"/>
    </xf>
    <xf numFmtId="0" fontId="69" fillId="2" borderId="6" xfId="1" applyFont="1" applyFill="1" applyBorder="1" applyAlignment="1">
      <alignment vertical="center"/>
    </xf>
    <xf numFmtId="164" fontId="65" fillId="2" borderId="11" xfId="1" applyNumberFormat="1" applyFont="1" applyFill="1" applyBorder="1" applyAlignment="1">
      <alignment horizontal="right" vertical="center"/>
    </xf>
    <xf numFmtId="1" fontId="65" fillId="2" borderId="13" xfId="1" applyNumberFormat="1" applyFont="1" applyFill="1" applyBorder="1" applyAlignment="1">
      <alignment horizontal="right" vertical="center"/>
    </xf>
    <xf numFmtId="1" fontId="65" fillId="2" borderId="15" xfId="1" applyNumberFormat="1" applyFont="1" applyFill="1" applyBorder="1" applyAlignment="1">
      <alignment horizontal="right" vertical="center"/>
    </xf>
    <xf numFmtId="1" fontId="16" fillId="2" borderId="11" xfId="1" applyNumberFormat="1" applyFont="1" applyFill="1" applyBorder="1" applyAlignment="1">
      <alignment horizontal="right" vertical="center"/>
    </xf>
    <xf numFmtId="1" fontId="16" fillId="2" borderId="15" xfId="1" applyNumberFormat="1" applyFont="1" applyFill="1" applyBorder="1" applyAlignment="1">
      <alignment horizontal="right" vertical="center"/>
    </xf>
    <xf numFmtId="165" fontId="16" fillId="2" borderId="13" xfId="1" applyNumberFormat="1" applyFont="1" applyFill="1" applyBorder="1" applyAlignment="1">
      <alignment horizontal="right" vertical="center"/>
    </xf>
    <xf numFmtId="165" fontId="16" fillId="2" borderId="15" xfId="1" applyNumberFormat="1" applyFont="1" applyFill="1" applyBorder="1" applyAlignment="1">
      <alignment horizontal="right" vertical="center"/>
    </xf>
    <xf numFmtId="2" fontId="16" fillId="2" borderId="15" xfId="1" applyNumberFormat="1" applyFont="1" applyFill="1" applyBorder="1" applyAlignment="1">
      <alignment horizontal="right" vertical="center"/>
    </xf>
    <xf numFmtId="2" fontId="16" fillId="2" borderId="13" xfId="1" applyNumberFormat="1" applyFont="1" applyFill="1" applyBorder="1" applyAlignment="1">
      <alignment horizontal="right" vertical="center"/>
    </xf>
    <xf numFmtId="164" fontId="16" fillId="2" borderId="18" xfId="1" applyNumberFormat="1" applyFont="1" applyFill="1" applyBorder="1" applyAlignment="1">
      <alignment horizontal="right" vertical="center"/>
    </xf>
    <xf numFmtId="164" fontId="65" fillId="2" borderId="0" xfId="1" applyNumberFormat="1" applyFont="1" applyFill="1" applyAlignment="1">
      <alignment horizontal="right" vertical="center"/>
    </xf>
    <xf numFmtId="165" fontId="16" fillId="2" borderId="11" xfId="1" applyNumberFormat="1" applyFont="1" applyFill="1" applyBorder="1" applyAlignment="1">
      <alignment horizontal="right" vertical="center"/>
    </xf>
    <xf numFmtId="164" fontId="16" fillId="2" borderId="15" xfId="1" applyNumberFormat="1" applyFont="1" applyFill="1" applyBorder="1" applyAlignment="1">
      <alignment horizontal="right" vertical="center"/>
    </xf>
    <xf numFmtId="1" fontId="16" fillId="2" borderId="13" xfId="1" applyNumberFormat="1" applyFont="1" applyFill="1" applyBorder="1" applyAlignment="1">
      <alignment horizontal="right" vertical="center"/>
    </xf>
    <xf numFmtId="165" fontId="16" fillId="2" borderId="18" xfId="1" applyNumberFormat="1" applyFont="1" applyFill="1" applyBorder="1" applyAlignment="1">
      <alignment horizontal="right" vertical="center"/>
    </xf>
    <xf numFmtId="0" fontId="13" fillId="2" borderId="0" xfId="1" applyFont="1" applyFill="1" applyAlignment="1">
      <alignment horizontal="right"/>
    </xf>
    <xf numFmtId="0" fontId="13" fillId="2" borderId="0" xfId="1" applyFont="1" applyFill="1" applyAlignment="1">
      <alignment horizontal="center" vertical="center" wrapText="1"/>
    </xf>
    <xf numFmtId="0" fontId="61" fillId="2" borderId="0" xfId="1" applyFont="1" applyFill="1" applyAlignment="1">
      <alignment horizontal="right"/>
    </xf>
    <xf numFmtId="0" fontId="61" fillId="2" borderId="0" xfId="1" applyFont="1" applyFill="1" applyAlignment="1">
      <alignment horizontal="right" vertical="center"/>
    </xf>
    <xf numFmtId="0" fontId="71" fillId="2" borderId="0" xfId="1" applyFont="1" applyFill="1" applyAlignment="1">
      <alignment horizontal="right"/>
    </xf>
    <xf numFmtId="1" fontId="6" fillId="4" borderId="11" xfId="0" applyNumberFormat="1" applyFont="1" applyFill="1" applyBorder="1" applyAlignment="1">
      <alignment horizontal="right"/>
    </xf>
    <xf numFmtId="1" fontId="6" fillId="4" borderId="15" xfId="0" applyNumberFormat="1" applyFont="1" applyFill="1" applyBorder="1" applyAlignment="1">
      <alignment horizontal="right"/>
    </xf>
    <xf numFmtId="165" fontId="6" fillId="4" borderId="13" xfId="0" applyNumberFormat="1" applyFont="1" applyFill="1" applyBorder="1" applyAlignment="1">
      <alignment horizontal="right"/>
    </xf>
    <xf numFmtId="165" fontId="6" fillId="4" borderId="15" xfId="0" applyNumberFormat="1" applyFont="1" applyFill="1" applyBorder="1" applyAlignment="1">
      <alignment horizontal="right"/>
    </xf>
    <xf numFmtId="164" fontId="6" fillId="4" borderId="18" xfId="0" applyNumberFormat="1" applyFont="1" applyFill="1" applyBorder="1" applyAlignment="1">
      <alignment horizontal="right"/>
    </xf>
    <xf numFmtId="164" fontId="6" fillId="4" borderId="15" xfId="0" applyNumberFormat="1" applyFont="1" applyFill="1" applyBorder="1" applyAlignment="1">
      <alignment horizontal="right"/>
    </xf>
    <xf numFmtId="165" fontId="6" fillId="2" borderId="5" xfId="1" applyNumberFormat="1" applyFont="1" applyFill="1" applyBorder="1" applyAlignment="1">
      <alignment horizontal="center" vertical="center"/>
    </xf>
    <xf numFmtId="165" fontId="6" fillId="2" borderId="5" xfId="1" applyNumberFormat="1" applyFont="1" applyFill="1" applyBorder="1" applyAlignment="1">
      <alignment horizontal="center"/>
    </xf>
    <xf numFmtId="165" fontId="6" fillId="2" borderId="29" xfId="1" applyNumberFormat="1" applyFont="1" applyFill="1" applyBorder="1" applyAlignment="1">
      <alignment horizontal="center" vertical="center"/>
    </xf>
    <xf numFmtId="165" fontId="6" fillId="2" borderId="29" xfId="1" applyNumberFormat="1" applyFont="1" applyFill="1" applyBorder="1" applyAlignment="1">
      <alignment horizontal="center"/>
    </xf>
    <xf numFmtId="165" fontId="6" fillId="2" borderId="31" xfId="1" applyNumberFormat="1" applyFont="1" applyFill="1" applyBorder="1" applyAlignment="1">
      <alignment horizontal="center" vertical="center"/>
    </xf>
    <xf numFmtId="165" fontId="6" fillId="2" borderId="33" xfId="1" applyNumberFormat="1" applyFont="1" applyFill="1" applyBorder="1" applyAlignment="1">
      <alignment horizontal="center" vertical="center"/>
    </xf>
    <xf numFmtId="165" fontId="6" fillId="2" borderId="34" xfId="1" applyNumberFormat="1" applyFont="1" applyFill="1" applyBorder="1" applyAlignment="1">
      <alignment horizontal="center" vertical="center"/>
    </xf>
    <xf numFmtId="165" fontId="6" fillId="2" borderId="34" xfId="1" applyNumberFormat="1" applyFont="1" applyFill="1" applyBorder="1" applyAlignment="1">
      <alignment horizontal="center"/>
    </xf>
    <xf numFmtId="1" fontId="6" fillId="2" borderId="0" xfId="1" applyNumberFormat="1" applyFont="1" applyFill="1" applyAlignment="1">
      <alignment horizontal="right" wrapText="1"/>
    </xf>
    <xf numFmtId="1" fontId="13" fillId="2" borderId="0" xfId="1" applyNumberFormat="1" applyFont="1" applyFill="1" applyAlignment="1">
      <alignment horizontal="right" wrapText="1"/>
    </xf>
    <xf numFmtId="165" fontId="6" fillId="2" borderId="26" xfId="1" applyNumberFormat="1" applyFont="1" applyFill="1" applyBorder="1" applyAlignment="1">
      <alignment horizontal="center" vertical="center"/>
    </xf>
    <xf numFmtId="165" fontId="6" fillId="2" borderId="25" xfId="1" applyNumberFormat="1" applyFont="1" applyFill="1" applyBorder="1" applyAlignment="1">
      <alignment horizontal="center" vertical="center"/>
    </xf>
    <xf numFmtId="165" fontId="6" fillId="2" borderId="23" xfId="1" applyNumberFormat="1" applyFont="1" applyFill="1" applyBorder="1" applyAlignment="1">
      <alignment horizontal="center" vertical="center"/>
    </xf>
    <xf numFmtId="1" fontId="25" fillId="3" borderId="21" xfId="1" applyNumberFormat="1" applyFont="1" applyFill="1" applyBorder="1" applyAlignment="1">
      <alignment horizontal="center" vertical="center"/>
    </xf>
    <xf numFmtId="164" fontId="4" fillId="2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left"/>
    </xf>
    <xf numFmtId="164" fontId="8" fillId="2" borderId="0" xfId="0" applyNumberFormat="1" applyFont="1" applyFill="1" applyAlignment="1">
      <alignment horizontal="center"/>
    </xf>
    <xf numFmtId="0" fontId="25" fillId="2" borderId="6" xfId="0" applyFont="1" applyFill="1" applyBorder="1" applyAlignment="1">
      <alignment horizontal="left" vertical="center"/>
    </xf>
    <xf numFmtId="0" fontId="15" fillId="2" borderId="7" xfId="0" applyFont="1" applyFill="1" applyBorder="1" applyAlignment="1">
      <alignment horizontal="right" vertical="center"/>
    </xf>
    <xf numFmtId="0" fontId="15" fillId="2" borderId="8" xfId="0" applyFont="1" applyFill="1" applyBorder="1" applyAlignment="1">
      <alignment horizontal="right" vertical="center"/>
    </xf>
    <xf numFmtId="0" fontId="16" fillId="2" borderId="7" xfId="1" applyFont="1" applyFill="1" applyBorder="1" applyAlignment="1">
      <alignment horizontal="right" vertical="center"/>
    </xf>
    <xf numFmtId="0" fontId="72" fillId="2" borderId="0" xfId="1" applyFont="1" applyFill="1" applyAlignment="1">
      <alignment horizontal="right" vertical="center"/>
    </xf>
    <xf numFmtId="0" fontId="72" fillId="2" borderId="0" xfId="1" applyFont="1" applyFill="1" applyAlignment="1">
      <alignment horizontal="right"/>
    </xf>
    <xf numFmtId="2" fontId="72" fillId="2" borderId="0" xfId="1" applyNumberFormat="1" applyFont="1" applyFill="1"/>
    <xf numFmtId="165" fontId="72" fillId="2" borderId="0" xfId="1" applyNumberFormat="1" applyFont="1" applyFill="1"/>
    <xf numFmtId="0" fontId="72" fillId="2" borderId="7" xfId="1" applyFont="1" applyFill="1" applyBorder="1" applyAlignment="1">
      <alignment horizontal="right"/>
    </xf>
    <xf numFmtId="165" fontId="72" fillId="2" borderId="0" xfId="1" applyNumberFormat="1" applyFont="1" applyFill="1" applyAlignment="1">
      <alignment horizontal="right"/>
    </xf>
    <xf numFmtId="0" fontId="72" fillId="2" borderId="0" xfId="1" applyFont="1" applyFill="1" applyAlignment="1">
      <alignment horizontal="left" vertical="center"/>
    </xf>
    <xf numFmtId="0" fontId="72" fillId="3" borderId="0" xfId="1" applyFont="1" applyFill="1" applyAlignment="1">
      <alignment horizontal="right"/>
    </xf>
    <xf numFmtId="49" fontId="6" fillId="2" borderId="5" xfId="1" applyNumberFormat="1" applyFont="1" applyFill="1" applyBorder="1" applyAlignment="1">
      <alignment horizontal="center"/>
    </xf>
    <xf numFmtId="0" fontId="1" fillId="0" borderId="0" xfId="2" applyFont="1" applyAlignment="1">
      <alignment horizontal="right"/>
    </xf>
    <xf numFmtId="165" fontId="2" fillId="0" borderId="0" xfId="2" applyNumberFormat="1" applyAlignment="1">
      <alignment horizontal="right"/>
    </xf>
    <xf numFmtId="165" fontId="3" fillId="7" borderId="28" xfId="2" applyNumberFormat="1" applyFont="1" applyFill="1" applyBorder="1" applyAlignment="1">
      <alignment horizontal="center"/>
    </xf>
    <xf numFmtId="165" fontId="3" fillId="7" borderId="28" xfId="2" applyNumberFormat="1" applyFont="1" applyFill="1" applyBorder="1" applyAlignment="1">
      <alignment horizontal="right"/>
    </xf>
    <xf numFmtId="0" fontId="6" fillId="7" borderId="0" xfId="1" applyFont="1" applyFill="1" applyAlignment="1">
      <alignment horizontal="right" vertical="center"/>
    </xf>
    <xf numFmtId="0" fontId="1" fillId="0" borderId="0" xfId="2" applyFont="1" applyAlignment="1">
      <alignment horizontal="center" vertical="center"/>
    </xf>
    <xf numFmtId="1" fontId="6" fillId="2" borderId="4" xfId="1" applyNumberFormat="1" applyFont="1" applyFill="1" applyBorder="1" applyAlignment="1">
      <alignment horizontal="center"/>
    </xf>
    <xf numFmtId="0" fontId="74" fillId="2" borderId="1" xfId="0" applyFont="1" applyFill="1" applyBorder="1" applyAlignment="1">
      <alignment horizontal="left" vertical="center"/>
    </xf>
    <xf numFmtId="0" fontId="75" fillId="2" borderId="0" xfId="1" applyFont="1" applyFill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13" fillId="2" borderId="2" xfId="1" applyFont="1" applyFill="1" applyBorder="1" applyAlignment="1">
      <alignment horizontal="right" vertical="center"/>
    </xf>
    <xf numFmtId="0" fontId="13" fillId="2" borderId="2" xfId="0" applyFont="1" applyFill="1" applyBorder="1" applyAlignment="1">
      <alignment horizontal="right" vertical="center"/>
    </xf>
    <xf numFmtId="0" fontId="13" fillId="2" borderId="3" xfId="0" applyFont="1" applyFill="1" applyBorder="1" applyAlignment="1">
      <alignment horizontal="right" vertical="center"/>
    </xf>
    <xf numFmtId="0" fontId="76" fillId="2" borderId="6" xfId="0" applyFont="1" applyFill="1" applyBorder="1" applyAlignment="1">
      <alignment horizontal="left" vertical="center"/>
    </xf>
    <xf numFmtId="0" fontId="24" fillId="0" borderId="6" xfId="0" applyFont="1" applyBorder="1"/>
    <xf numFmtId="0" fontId="13" fillId="2" borderId="7" xfId="1" applyFont="1" applyFill="1" applyBorder="1" applyAlignment="1">
      <alignment horizontal="right" vertical="center"/>
    </xf>
    <xf numFmtId="0" fontId="13" fillId="2" borderId="7" xfId="0" applyFont="1" applyFill="1" applyBorder="1" applyAlignment="1">
      <alignment horizontal="right" vertical="center"/>
    </xf>
    <xf numFmtId="0" fontId="13" fillId="2" borderId="8" xfId="0" applyFont="1" applyFill="1" applyBorder="1" applyAlignment="1">
      <alignment horizontal="right" vertical="center"/>
    </xf>
    <xf numFmtId="1" fontId="16" fillId="2" borderId="29" xfId="1" applyNumberFormat="1" applyFont="1" applyFill="1" applyBorder="1" applyAlignment="1">
      <alignment horizontal="center" vertical="center"/>
    </xf>
    <xf numFmtId="165" fontId="16" fillId="2" borderId="5" xfId="1" applyNumberFormat="1" applyFont="1" applyFill="1" applyBorder="1" applyAlignment="1">
      <alignment horizontal="center" vertical="center"/>
    </xf>
    <xf numFmtId="165" fontId="16" fillId="2" borderId="29" xfId="1" applyNumberFormat="1" applyFont="1" applyFill="1" applyBorder="1" applyAlignment="1">
      <alignment horizontal="center" vertical="center"/>
    </xf>
    <xf numFmtId="1" fontId="16" fillId="2" borderId="15" xfId="1" applyNumberFormat="1" applyFont="1" applyFill="1" applyBorder="1" applyAlignment="1">
      <alignment horizontal="center" vertical="center"/>
    </xf>
    <xf numFmtId="165" fontId="16" fillId="2" borderId="15" xfId="1" applyNumberFormat="1" applyFont="1" applyFill="1" applyBorder="1" applyAlignment="1">
      <alignment horizontal="center" vertical="center"/>
    </xf>
    <xf numFmtId="1" fontId="16" fillId="2" borderId="30" xfId="1" applyNumberFormat="1" applyFont="1" applyFill="1" applyBorder="1" applyAlignment="1">
      <alignment horizontal="center" vertical="center"/>
    </xf>
    <xf numFmtId="165" fontId="16" fillId="2" borderId="34" xfId="1" applyNumberFormat="1" applyFont="1" applyFill="1" applyBorder="1" applyAlignment="1">
      <alignment horizontal="center" vertical="center"/>
    </xf>
    <xf numFmtId="1" fontId="16" fillId="2" borderId="4" xfId="1" applyNumberFormat="1" applyFont="1" applyFill="1" applyBorder="1" applyAlignment="1">
      <alignment horizontal="center" vertical="center"/>
    </xf>
    <xf numFmtId="1" fontId="16" fillId="2" borderId="6" xfId="1" applyNumberFormat="1" applyFont="1" applyFill="1" applyBorder="1" applyAlignment="1">
      <alignment horizontal="center" vertical="center"/>
    </xf>
    <xf numFmtId="1" fontId="16" fillId="2" borderId="35" xfId="1" applyNumberFormat="1" applyFont="1" applyFill="1" applyBorder="1" applyAlignment="1">
      <alignment horizontal="center" vertical="center"/>
    </xf>
    <xf numFmtId="165" fontId="16" fillId="2" borderId="8" xfId="1" applyNumberFormat="1" applyFont="1" applyFill="1" applyBorder="1" applyAlignment="1">
      <alignment horizontal="center" vertical="center"/>
    </xf>
    <xf numFmtId="165" fontId="16" fillId="2" borderId="35" xfId="1" applyNumberFormat="1" applyFont="1" applyFill="1" applyBorder="1" applyAlignment="1">
      <alignment horizontal="center" vertical="center"/>
    </xf>
    <xf numFmtId="1" fontId="16" fillId="2" borderId="36" xfId="1" applyNumberFormat="1" applyFont="1" applyFill="1" applyBorder="1" applyAlignment="1">
      <alignment horizontal="center" vertical="center"/>
    </xf>
    <xf numFmtId="165" fontId="16" fillId="2" borderId="36" xfId="1" applyNumberFormat="1" applyFont="1" applyFill="1" applyBorder="1" applyAlignment="1">
      <alignment horizontal="center" vertical="center"/>
    </xf>
    <xf numFmtId="1" fontId="16" fillId="2" borderId="37" xfId="1" applyNumberFormat="1" applyFont="1" applyFill="1" applyBorder="1" applyAlignment="1">
      <alignment horizontal="center" vertical="center"/>
    </xf>
    <xf numFmtId="165" fontId="16" fillId="2" borderId="24" xfId="1" applyNumberFormat="1" applyFont="1" applyFill="1" applyBorder="1" applyAlignment="1">
      <alignment horizontal="center" vertical="center"/>
    </xf>
    <xf numFmtId="1" fontId="16" fillId="2" borderId="4" xfId="1" applyNumberFormat="1" applyFont="1" applyFill="1" applyBorder="1" applyAlignment="1">
      <alignment horizontal="center"/>
    </xf>
    <xf numFmtId="1" fontId="16" fillId="2" borderId="29" xfId="1" applyNumberFormat="1" applyFont="1" applyFill="1" applyBorder="1" applyAlignment="1">
      <alignment horizontal="center"/>
    </xf>
    <xf numFmtId="165" fontId="16" fillId="2" borderId="5" xfId="1" applyNumberFormat="1" applyFont="1" applyFill="1" applyBorder="1" applyAlignment="1">
      <alignment horizontal="center"/>
    </xf>
    <xf numFmtId="165" fontId="16" fillId="2" borderId="29" xfId="1" applyNumberFormat="1" applyFont="1" applyFill="1" applyBorder="1" applyAlignment="1">
      <alignment horizontal="center"/>
    </xf>
    <xf numFmtId="1" fontId="16" fillId="2" borderId="15" xfId="1" applyNumberFormat="1" applyFont="1" applyFill="1" applyBorder="1" applyAlignment="1">
      <alignment horizontal="center"/>
    </xf>
    <xf numFmtId="165" fontId="16" fillId="2" borderId="15" xfId="1" applyNumberFormat="1" applyFont="1" applyFill="1" applyBorder="1" applyAlignment="1">
      <alignment horizontal="center"/>
    </xf>
    <xf numFmtId="165" fontId="16" fillId="2" borderId="34" xfId="1" applyNumberFormat="1" applyFont="1" applyFill="1" applyBorder="1" applyAlignment="1">
      <alignment horizontal="center"/>
    </xf>
    <xf numFmtId="1" fontId="16" fillId="2" borderId="6" xfId="1" applyNumberFormat="1" applyFont="1" applyFill="1" applyBorder="1" applyAlignment="1">
      <alignment horizontal="center"/>
    </xf>
    <xf numFmtId="1" fontId="16" fillId="2" borderId="35" xfId="1" applyNumberFormat="1" applyFont="1" applyFill="1" applyBorder="1" applyAlignment="1">
      <alignment horizontal="center"/>
    </xf>
    <xf numFmtId="165" fontId="16" fillId="2" borderId="8" xfId="1" applyNumberFormat="1" applyFont="1" applyFill="1" applyBorder="1" applyAlignment="1">
      <alignment horizontal="center"/>
    </xf>
    <xf numFmtId="165" fontId="16" fillId="2" borderId="35" xfId="1" applyNumberFormat="1" applyFont="1" applyFill="1" applyBorder="1" applyAlignment="1">
      <alignment horizontal="center"/>
    </xf>
    <xf numFmtId="1" fontId="16" fillId="2" borderId="36" xfId="1" applyNumberFormat="1" applyFont="1" applyFill="1" applyBorder="1" applyAlignment="1">
      <alignment horizontal="center"/>
    </xf>
    <xf numFmtId="165" fontId="16" fillId="2" borderId="36" xfId="1" applyNumberFormat="1" applyFont="1" applyFill="1" applyBorder="1" applyAlignment="1">
      <alignment horizontal="center"/>
    </xf>
    <xf numFmtId="165" fontId="16" fillId="2" borderId="24" xfId="1" applyNumberFormat="1" applyFont="1" applyFill="1" applyBorder="1" applyAlignment="1">
      <alignment horizontal="center"/>
    </xf>
    <xf numFmtId="1" fontId="6" fillId="0" borderId="29" xfId="1" applyNumberFormat="1" applyFont="1" applyBorder="1" applyAlignment="1">
      <alignment horizontal="center" vertical="center"/>
    </xf>
    <xf numFmtId="165" fontId="6" fillId="0" borderId="5" xfId="1" applyNumberFormat="1" applyFont="1" applyBorder="1" applyAlignment="1">
      <alignment horizontal="center" vertical="center"/>
    </xf>
    <xf numFmtId="165" fontId="6" fillId="0" borderId="29" xfId="1" applyNumberFormat="1" applyFont="1" applyBorder="1" applyAlignment="1">
      <alignment horizontal="center" vertical="center"/>
    </xf>
    <xf numFmtId="1" fontId="6" fillId="0" borderId="15" xfId="1" applyNumberFormat="1" applyFont="1" applyBorder="1" applyAlignment="1">
      <alignment horizontal="center" vertical="center"/>
    </xf>
    <xf numFmtId="165" fontId="6" fillId="0" borderId="15" xfId="1" applyNumberFormat="1" applyFont="1" applyBorder="1" applyAlignment="1">
      <alignment horizontal="center" vertical="center"/>
    </xf>
    <xf numFmtId="1" fontId="6" fillId="0" borderId="30" xfId="1" applyNumberFormat="1" applyFont="1" applyBorder="1" applyAlignment="1">
      <alignment horizontal="center" vertical="center"/>
    </xf>
    <xf numFmtId="165" fontId="6" fillId="0" borderId="34" xfId="1" applyNumberFormat="1" applyFont="1" applyBorder="1" applyAlignment="1">
      <alignment horizontal="center" vertical="center"/>
    </xf>
    <xf numFmtId="0" fontId="16" fillId="2" borderId="0" xfId="1" applyFont="1" applyFill="1" applyAlignment="1">
      <alignment horizontal="center" vertical="center"/>
    </xf>
    <xf numFmtId="0" fontId="16" fillId="2" borderId="0" xfId="0" applyFont="1" applyFill="1" applyAlignment="1">
      <alignment horizontal="right" vertical="center"/>
    </xf>
    <xf numFmtId="0" fontId="16" fillId="2" borderId="0" xfId="1" applyFont="1" applyFill="1" applyAlignment="1" applyProtection="1">
      <alignment horizontal="center" vertical="center"/>
      <protection locked="0"/>
    </xf>
    <xf numFmtId="0" fontId="16" fillId="2" borderId="0" xfId="1" applyFont="1" applyFill="1" applyAlignment="1" applyProtection="1">
      <alignment vertical="center"/>
      <protection locked="0"/>
    </xf>
    <xf numFmtId="0" fontId="16" fillId="2" borderId="0" xfId="1" applyFont="1" applyFill="1" applyAlignment="1">
      <alignment horizontal="right" wrapText="1"/>
    </xf>
    <xf numFmtId="169" fontId="16" fillId="2" borderId="0" xfId="1" applyNumberFormat="1" applyFont="1" applyFill="1" applyAlignment="1">
      <alignment horizontal="right" wrapText="1"/>
    </xf>
    <xf numFmtId="2" fontId="16" fillId="2" borderId="0" xfId="1" applyNumberFormat="1" applyFont="1" applyFill="1" applyAlignment="1">
      <alignment horizontal="right" vertical="center"/>
    </xf>
    <xf numFmtId="165" fontId="16" fillId="2" borderId="0" xfId="1" applyNumberFormat="1" applyFont="1" applyFill="1" applyAlignment="1">
      <alignment horizontal="right" vertical="center"/>
    </xf>
    <xf numFmtId="1" fontId="16" fillId="2" borderId="0" xfId="1" applyNumberFormat="1" applyFont="1" applyFill="1" applyAlignment="1">
      <alignment horizontal="right" vertical="center"/>
    </xf>
    <xf numFmtId="1" fontId="16" fillId="2" borderId="0" xfId="1" applyNumberFormat="1" applyFont="1" applyFill="1" applyAlignment="1">
      <alignment horizontal="right"/>
    </xf>
    <xf numFmtId="0" fontId="16" fillId="3" borderId="0" xfId="1" applyFont="1" applyFill="1" applyAlignment="1">
      <alignment horizontal="right"/>
    </xf>
    <xf numFmtId="0" fontId="16" fillId="3" borderId="0" xfId="1" applyFont="1" applyFill="1" applyAlignment="1">
      <alignment horizontal="right" vertical="center"/>
    </xf>
    <xf numFmtId="0" fontId="16" fillId="3" borderId="0" xfId="1" applyFont="1" applyFill="1" applyAlignment="1">
      <alignment horizontal="center" vertical="center"/>
    </xf>
    <xf numFmtId="0" fontId="16" fillId="3" borderId="0" xfId="0" applyFont="1" applyFill="1" applyAlignment="1">
      <alignment horizontal="right" vertical="center"/>
    </xf>
    <xf numFmtId="0" fontId="16" fillId="3" borderId="0" xfId="1" applyFont="1" applyFill="1" applyAlignment="1" applyProtection="1">
      <alignment horizontal="center" vertical="center"/>
      <protection locked="0"/>
    </xf>
    <xf numFmtId="0" fontId="16" fillId="3" borderId="0" xfId="1" applyFont="1" applyFill="1" applyAlignment="1" applyProtection="1">
      <alignment vertical="center"/>
      <protection locked="0"/>
    </xf>
    <xf numFmtId="0" fontId="16" fillId="3" borderId="0" xfId="0" applyFont="1" applyFill="1" applyAlignment="1">
      <alignment horizontal="center" vertical="center"/>
    </xf>
    <xf numFmtId="0" fontId="16" fillId="3" borderId="0" xfId="1" applyFont="1" applyFill="1" applyAlignment="1">
      <alignment horizontal="right" wrapText="1"/>
    </xf>
    <xf numFmtId="1" fontId="16" fillId="3" borderId="0" xfId="1" applyNumberFormat="1" applyFont="1" applyFill="1" applyAlignment="1">
      <alignment horizontal="right" wrapText="1"/>
    </xf>
    <xf numFmtId="169" fontId="16" fillId="3" borderId="0" xfId="1" applyNumberFormat="1" applyFont="1" applyFill="1" applyAlignment="1">
      <alignment horizontal="right" wrapText="1"/>
    </xf>
    <xf numFmtId="0" fontId="16" fillId="3" borderId="0" xfId="1" applyFont="1" applyFill="1" applyAlignment="1">
      <alignment horizontal="center" vertical="center" wrapText="1"/>
    </xf>
    <xf numFmtId="2" fontId="16" fillId="3" borderId="0" xfId="1" applyNumberFormat="1" applyFont="1" applyFill="1" applyAlignment="1">
      <alignment horizontal="right" vertical="center"/>
    </xf>
    <xf numFmtId="165" fontId="16" fillId="3" borderId="0" xfId="1" applyNumberFormat="1" applyFont="1" applyFill="1" applyAlignment="1">
      <alignment horizontal="right" vertical="center"/>
    </xf>
    <xf numFmtId="1" fontId="16" fillId="3" borderId="0" xfId="1" applyNumberFormat="1" applyFont="1" applyFill="1" applyAlignment="1">
      <alignment horizontal="right" vertical="center"/>
    </xf>
    <xf numFmtId="1" fontId="16" fillId="3" borderId="0" xfId="1" applyNumberFormat="1" applyFont="1" applyFill="1" applyAlignment="1">
      <alignment horizontal="right"/>
    </xf>
    <xf numFmtId="2" fontId="16" fillId="3" borderId="0" xfId="1" applyNumberFormat="1" applyFont="1" applyFill="1" applyAlignment="1">
      <alignment vertical="center"/>
    </xf>
    <xf numFmtId="165" fontId="16" fillId="3" borderId="0" xfId="1" applyNumberFormat="1" applyFont="1" applyFill="1" applyAlignment="1">
      <alignment vertical="center"/>
    </xf>
    <xf numFmtId="0" fontId="13" fillId="3" borderId="0" xfId="1" applyFont="1" applyFill="1" applyAlignment="1">
      <alignment horizontal="right" vertical="center"/>
    </xf>
    <xf numFmtId="0" fontId="6" fillId="3" borderId="0" xfId="1" applyFont="1" applyFill="1" applyAlignment="1">
      <alignment horizontal="right" vertical="center"/>
    </xf>
    <xf numFmtId="164" fontId="16" fillId="2" borderId="0" xfId="1" applyNumberFormat="1" applyFont="1" applyFill="1" applyAlignment="1">
      <alignment horizontal="right" vertical="center"/>
    </xf>
    <xf numFmtId="0" fontId="16" fillId="2" borderId="0" xfId="1" applyFont="1" applyFill="1"/>
    <xf numFmtId="1" fontId="65" fillId="2" borderId="0" xfId="1" applyNumberFormat="1" applyFont="1" applyFill="1" applyAlignment="1">
      <alignment horizontal="center" vertical="center"/>
    </xf>
    <xf numFmtId="2" fontId="16" fillId="2" borderId="0" xfId="1" applyNumberFormat="1" applyFont="1" applyFill="1" applyAlignment="1">
      <alignment horizontal="center"/>
    </xf>
    <xf numFmtId="1" fontId="16" fillId="2" borderId="0" xfId="1" applyNumberFormat="1" applyFont="1" applyFill="1" applyAlignment="1">
      <alignment horizontal="center"/>
    </xf>
    <xf numFmtId="0" fontId="16" fillId="2" borderId="0" xfId="1" applyFont="1" applyFill="1" applyAlignment="1">
      <alignment horizontal="left"/>
    </xf>
    <xf numFmtId="165" fontId="65" fillId="2" borderId="0" xfId="1" applyNumberFormat="1" applyFont="1" applyFill="1" applyAlignment="1">
      <alignment horizontal="center" vertical="center"/>
    </xf>
    <xf numFmtId="165" fontId="16" fillId="2" borderId="0" xfId="1" applyNumberFormat="1" applyFont="1" applyFill="1" applyAlignment="1">
      <alignment horizontal="center" vertical="center"/>
    </xf>
    <xf numFmtId="165" fontId="65" fillId="2" borderId="0" xfId="1" applyNumberFormat="1" applyFont="1" applyFill="1" applyAlignment="1">
      <alignment horizontal="left"/>
    </xf>
    <xf numFmtId="165" fontId="16" fillId="2" borderId="0" xfId="1" applyNumberFormat="1" applyFont="1" applyFill="1" applyAlignment="1">
      <alignment horizontal="center"/>
    </xf>
    <xf numFmtId="165" fontId="16" fillId="2" borderId="0" xfId="1" applyNumberFormat="1" applyFont="1" applyFill="1" applyAlignment="1">
      <alignment horizontal="right"/>
    </xf>
    <xf numFmtId="0" fontId="16" fillId="2" borderId="0" xfId="1" applyFont="1" applyFill="1" applyAlignment="1">
      <alignment horizontal="center"/>
    </xf>
    <xf numFmtId="169" fontId="16" fillId="2" borderId="0" xfId="1" applyNumberFormat="1" applyFont="1" applyFill="1" applyAlignment="1">
      <alignment horizontal="center"/>
    </xf>
    <xf numFmtId="0" fontId="16" fillId="3" borderId="0" xfId="1" applyFont="1" applyFill="1" applyAlignment="1">
      <alignment horizontal="center"/>
    </xf>
    <xf numFmtId="0" fontId="16" fillId="2" borderId="4" xfId="1" applyFont="1" applyFill="1" applyBorder="1" applyAlignment="1">
      <alignment horizontal="right" wrapText="1"/>
    </xf>
    <xf numFmtId="2" fontId="16" fillId="2" borderId="4" xfId="1" applyNumberFormat="1" applyFont="1" applyFill="1" applyBorder="1" applyAlignment="1">
      <alignment horizontal="right" vertical="center"/>
    </xf>
    <xf numFmtId="0" fontId="13" fillId="2" borderId="0" xfId="1" applyFont="1" applyFill="1" applyAlignment="1">
      <alignment horizontal="center"/>
    </xf>
    <xf numFmtId="0" fontId="13" fillId="2" borderId="0" xfId="1" applyFont="1" applyFill="1"/>
    <xf numFmtId="1" fontId="13" fillId="2" borderId="0" xfId="1" applyNumberFormat="1" applyFont="1" applyFill="1" applyAlignment="1">
      <alignment horizontal="right"/>
    </xf>
    <xf numFmtId="165" fontId="13" fillId="2" borderId="0" xfId="1" applyNumberFormat="1" applyFont="1" applyFill="1" applyAlignment="1">
      <alignment horizontal="right"/>
    </xf>
    <xf numFmtId="164" fontId="15" fillId="2" borderId="0" xfId="0" applyNumberFormat="1" applyFont="1" applyFill="1"/>
    <xf numFmtId="1" fontId="65" fillId="2" borderId="0" xfId="1" applyNumberFormat="1" applyFont="1" applyFill="1" applyAlignment="1">
      <alignment horizontal="right" vertical="center"/>
    </xf>
    <xf numFmtId="165" fontId="36" fillId="2" borderId="0" xfId="1" applyNumberFormat="1" applyFont="1" applyFill="1"/>
    <xf numFmtId="1" fontId="6" fillId="2" borderId="4" xfId="1" applyNumberFormat="1" applyFont="1" applyFill="1" applyBorder="1" applyAlignment="1">
      <alignment horizontal="center" vertical="center"/>
    </xf>
    <xf numFmtId="1" fontId="6" fillId="0" borderId="4" xfId="1" applyNumberFormat="1" applyFont="1" applyBorder="1" applyAlignment="1">
      <alignment horizontal="center" vertical="center"/>
    </xf>
    <xf numFmtId="0" fontId="74" fillId="2" borderId="2" xfId="1" applyFont="1" applyFill="1" applyBorder="1" applyAlignment="1">
      <alignment horizontal="left" vertical="center"/>
    </xf>
    <xf numFmtId="0" fontId="74" fillId="2" borderId="3" xfId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0" fontId="24" fillId="2" borderId="6" xfId="1" applyFont="1" applyFill="1" applyBorder="1" applyAlignment="1">
      <alignment vertical="center"/>
    </xf>
    <xf numFmtId="0" fontId="24" fillId="2" borderId="7" xfId="1" applyFont="1" applyFill="1" applyBorder="1" applyAlignment="1">
      <alignment vertical="center"/>
    </xf>
    <xf numFmtId="0" fontId="74" fillId="2" borderId="7" xfId="1" applyFont="1" applyFill="1" applyBorder="1" applyAlignment="1">
      <alignment horizontal="left" vertical="center"/>
    </xf>
    <xf numFmtId="0" fontId="74" fillId="2" borderId="8" xfId="1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0" fontId="6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165" fontId="5" fillId="2" borderId="4" xfId="1" applyNumberFormat="1" applyFont="1" applyFill="1" applyBorder="1" applyAlignment="1">
      <alignment horizontal="center" vertical="center"/>
    </xf>
    <xf numFmtId="165" fontId="5" fillId="2" borderId="0" xfId="1" applyNumberFormat="1" applyFont="1" applyFill="1" applyAlignment="1">
      <alignment horizontal="center" vertical="center"/>
    </xf>
    <xf numFmtId="165" fontId="5" fillId="2" borderId="5" xfId="1" applyNumberFormat="1" applyFont="1" applyFill="1" applyBorder="1" applyAlignment="1">
      <alignment horizontal="center" vertical="center"/>
    </xf>
    <xf numFmtId="49" fontId="6" fillId="2" borderId="0" xfId="1" applyNumberFormat="1" applyFont="1" applyFill="1" applyAlignment="1">
      <alignment horizontal="center"/>
    </xf>
    <xf numFmtId="49" fontId="6" fillId="2" borderId="5" xfId="1" applyNumberFormat="1" applyFont="1" applyFill="1" applyBorder="1" applyAlignment="1">
      <alignment horizontal="center"/>
    </xf>
    <xf numFmtId="165" fontId="19" fillId="2" borderId="4" xfId="1" applyNumberFormat="1" applyFont="1" applyFill="1" applyBorder="1" applyAlignment="1">
      <alignment horizontal="center"/>
    </xf>
    <xf numFmtId="165" fontId="19" fillId="2" borderId="0" xfId="1" applyNumberFormat="1" applyFont="1" applyFill="1" applyAlignment="1">
      <alignment horizontal="center"/>
    </xf>
    <xf numFmtId="165" fontId="19" fillId="2" borderId="5" xfId="1" applyNumberFormat="1" applyFont="1" applyFill="1" applyBorder="1" applyAlignment="1">
      <alignment horizontal="center"/>
    </xf>
    <xf numFmtId="16" fontId="6" fillId="2" borderId="0" xfId="1" applyNumberFormat="1" applyFont="1" applyFill="1" applyAlignment="1">
      <alignment horizontal="center"/>
    </xf>
    <xf numFmtId="0" fontId="6" fillId="2" borderId="5" xfId="1" applyFont="1" applyFill="1" applyBorder="1" applyAlignment="1">
      <alignment horizontal="center"/>
    </xf>
    <xf numFmtId="0" fontId="19" fillId="2" borderId="2" xfId="1" applyFont="1" applyFill="1" applyBorder="1" applyAlignment="1">
      <alignment horizontal="center" vertical="center"/>
    </xf>
    <xf numFmtId="0" fontId="19" fillId="2" borderId="3" xfId="1" applyFont="1" applyFill="1" applyBorder="1" applyAlignment="1">
      <alignment horizontal="center" vertical="center"/>
    </xf>
    <xf numFmtId="0" fontId="19" fillId="2" borderId="7" xfId="1" applyFont="1" applyFill="1" applyBorder="1" applyAlignment="1">
      <alignment horizontal="center" vertical="center"/>
    </xf>
    <xf numFmtId="0" fontId="19" fillId="2" borderId="8" xfId="1" applyFont="1" applyFill="1" applyBorder="1" applyAlignment="1">
      <alignment horizontal="center" vertical="center"/>
    </xf>
    <xf numFmtId="165" fontId="20" fillId="2" borderId="4" xfId="1" applyNumberFormat="1" applyFont="1" applyFill="1" applyBorder="1" applyAlignment="1">
      <alignment horizontal="center"/>
    </xf>
    <xf numFmtId="165" fontId="20" fillId="2" borderId="0" xfId="1" applyNumberFormat="1" applyFont="1" applyFill="1" applyAlignment="1">
      <alignment horizontal="center"/>
    </xf>
    <xf numFmtId="165" fontId="20" fillId="2" borderId="5" xfId="1" applyNumberFormat="1" applyFont="1" applyFill="1" applyBorder="1" applyAlignment="1">
      <alignment horizontal="center"/>
    </xf>
    <xf numFmtId="14" fontId="6" fillId="2" borderId="0" xfId="1" applyNumberFormat="1" applyFont="1" applyFill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right" vertical="center"/>
    </xf>
    <xf numFmtId="0" fontId="19" fillId="0" borderId="3" xfId="1" applyFont="1" applyBorder="1" applyAlignment="1">
      <alignment horizontal="center" vertical="center"/>
    </xf>
    <xf numFmtId="0" fontId="19" fillId="0" borderId="7" xfId="1" applyFont="1" applyBorder="1" applyAlignment="1">
      <alignment horizontal="center" vertical="center"/>
    </xf>
    <xf numFmtId="0" fontId="19" fillId="0" borderId="8" xfId="1" applyFont="1" applyBorder="1" applyAlignment="1">
      <alignment horizontal="center" vertical="center"/>
    </xf>
    <xf numFmtId="0" fontId="19" fillId="2" borderId="0" xfId="1" applyFont="1" applyFill="1" applyAlignment="1">
      <alignment horizontal="center" vertical="center"/>
    </xf>
    <xf numFmtId="0" fontId="19" fillId="2" borderId="5" xfId="1" applyFont="1" applyFill="1" applyBorder="1" applyAlignment="1">
      <alignment horizontal="center" vertical="center"/>
    </xf>
    <xf numFmtId="0" fontId="24" fillId="2" borderId="7" xfId="1" applyFont="1" applyFill="1" applyBorder="1" applyAlignment="1">
      <alignment horizontal="right" vertical="center"/>
    </xf>
    <xf numFmtId="1" fontId="19" fillId="2" borderId="3" xfId="1" applyNumberFormat="1" applyFont="1" applyFill="1" applyBorder="1" applyAlignment="1">
      <alignment horizontal="center" vertical="center"/>
    </xf>
    <xf numFmtId="172" fontId="19" fillId="2" borderId="2" xfId="0" applyNumberFormat="1" applyFont="1" applyFill="1" applyBorder="1" applyAlignment="1">
      <alignment horizontal="center" vertical="center"/>
    </xf>
    <xf numFmtId="172" fontId="19" fillId="2" borderId="3" xfId="0" applyNumberFormat="1" applyFont="1" applyFill="1" applyBorder="1" applyAlignment="1">
      <alignment horizontal="center" vertical="center"/>
    </xf>
    <xf numFmtId="172" fontId="19" fillId="2" borderId="7" xfId="0" applyNumberFormat="1" applyFont="1" applyFill="1" applyBorder="1" applyAlignment="1">
      <alignment horizontal="center" vertical="center"/>
    </xf>
    <xf numFmtId="172" fontId="19" fillId="2" borderId="8" xfId="0" applyNumberFormat="1" applyFont="1" applyFill="1" applyBorder="1" applyAlignment="1">
      <alignment horizontal="center" vertical="center"/>
    </xf>
    <xf numFmtId="173" fontId="19" fillId="2" borderId="2" xfId="0" applyNumberFormat="1" applyFont="1" applyFill="1" applyBorder="1" applyAlignment="1">
      <alignment horizontal="center" vertical="center"/>
    </xf>
    <xf numFmtId="173" fontId="19" fillId="2" borderId="3" xfId="0" applyNumberFormat="1" applyFont="1" applyFill="1" applyBorder="1" applyAlignment="1">
      <alignment horizontal="center" vertical="center"/>
    </xf>
    <xf numFmtId="173" fontId="19" fillId="2" borderId="7" xfId="0" applyNumberFormat="1" applyFont="1" applyFill="1" applyBorder="1" applyAlignment="1">
      <alignment horizontal="center" vertical="center"/>
    </xf>
    <xf numFmtId="173" fontId="19" fillId="2" borderId="8" xfId="0" applyNumberFormat="1" applyFont="1" applyFill="1" applyBorder="1" applyAlignment="1">
      <alignment horizontal="center" vertical="center"/>
    </xf>
    <xf numFmtId="165" fontId="24" fillId="2" borderId="6" xfId="1" applyNumberFormat="1" applyFont="1" applyFill="1" applyBorder="1" applyAlignment="1">
      <alignment horizontal="left" vertical="center"/>
    </xf>
    <xf numFmtId="165" fontId="24" fillId="2" borderId="7" xfId="1" applyNumberFormat="1" applyFont="1" applyFill="1" applyBorder="1" applyAlignment="1">
      <alignment horizontal="left" vertical="center"/>
    </xf>
    <xf numFmtId="0" fontId="25" fillId="2" borderId="0" xfId="1" applyFont="1" applyFill="1" applyAlignment="1">
      <alignment horizontal="center" vertical="center"/>
    </xf>
    <xf numFmtId="0" fontId="25" fillId="2" borderId="5" xfId="1" applyFont="1" applyFill="1" applyBorder="1" applyAlignment="1">
      <alignment horizontal="center" vertical="center"/>
    </xf>
    <xf numFmtId="1" fontId="19" fillId="2" borderId="8" xfId="1" applyNumberFormat="1" applyFont="1" applyFill="1" applyBorder="1" applyAlignment="1">
      <alignment horizontal="center" vertical="center"/>
    </xf>
    <xf numFmtId="0" fontId="19" fillId="2" borderId="3" xfId="1" applyFont="1" applyFill="1" applyBorder="1" applyAlignment="1">
      <alignment horizontal="left" vertical="center"/>
    </xf>
    <xf numFmtId="0" fontId="19" fillId="2" borderId="8" xfId="1" applyFont="1" applyFill="1" applyBorder="1" applyAlignment="1">
      <alignment horizontal="left" vertical="center"/>
    </xf>
    <xf numFmtId="165" fontId="19" fillId="2" borderId="2" xfId="1" applyNumberFormat="1" applyFont="1" applyFill="1" applyBorder="1" applyAlignment="1">
      <alignment horizontal="left" vertical="center"/>
    </xf>
    <xf numFmtId="165" fontId="19" fillId="2" borderId="3" xfId="1" applyNumberFormat="1" applyFont="1" applyFill="1" applyBorder="1" applyAlignment="1">
      <alignment horizontal="left" vertical="center"/>
    </xf>
    <xf numFmtId="165" fontId="19" fillId="2" borderId="7" xfId="1" applyNumberFormat="1" applyFont="1" applyFill="1" applyBorder="1" applyAlignment="1">
      <alignment horizontal="left" vertical="center"/>
    </xf>
    <xf numFmtId="165" fontId="19" fillId="2" borderId="8" xfId="1" applyNumberFormat="1" applyFont="1" applyFill="1" applyBorder="1" applyAlignment="1">
      <alignment horizontal="left" vertical="center"/>
    </xf>
    <xf numFmtId="167" fontId="19" fillId="2" borderId="2" xfId="1" applyNumberFormat="1" applyFont="1" applyFill="1" applyBorder="1" applyAlignment="1">
      <alignment horizontal="center" vertical="center"/>
    </xf>
    <xf numFmtId="167" fontId="19" fillId="2" borderId="3" xfId="1" applyNumberFormat="1" applyFont="1" applyFill="1" applyBorder="1" applyAlignment="1">
      <alignment horizontal="center" vertical="center"/>
    </xf>
    <xf numFmtId="167" fontId="19" fillId="2" borderId="7" xfId="1" applyNumberFormat="1" applyFont="1" applyFill="1" applyBorder="1" applyAlignment="1">
      <alignment horizontal="center" vertical="center"/>
    </xf>
    <xf numFmtId="167" fontId="19" fillId="2" borderId="8" xfId="1" applyNumberFormat="1" applyFont="1" applyFill="1" applyBorder="1" applyAlignment="1">
      <alignment horizontal="center" vertical="center"/>
    </xf>
    <xf numFmtId="0" fontId="25" fillId="2" borderId="7" xfId="1" applyFont="1" applyFill="1" applyBorder="1" applyAlignment="1">
      <alignment horizontal="center" vertical="center"/>
    </xf>
    <xf numFmtId="0" fontId="25" fillId="2" borderId="8" xfId="1" applyFont="1" applyFill="1" applyBorder="1" applyAlignment="1">
      <alignment horizontal="center" vertical="center"/>
    </xf>
    <xf numFmtId="0" fontId="70" fillId="2" borderId="3" xfId="1" applyFont="1" applyFill="1" applyBorder="1" applyAlignment="1">
      <alignment horizontal="left" vertical="center" wrapText="1"/>
    </xf>
    <xf numFmtId="0" fontId="70" fillId="2" borderId="8" xfId="1" applyFont="1" applyFill="1" applyBorder="1" applyAlignment="1">
      <alignment horizontal="left" vertical="center" wrapText="1"/>
    </xf>
    <xf numFmtId="0" fontId="27" fillId="2" borderId="4" xfId="1" applyFont="1" applyFill="1" applyBorder="1" applyAlignment="1">
      <alignment horizontal="left" vertical="center" wrapText="1"/>
    </xf>
    <xf numFmtId="0" fontId="27" fillId="2" borderId="0" xfId="1" applyFont="1" applyFill="1" applyAlignment="1">
      <alignment horizontal="left" vertical="center" wrapText="1"/>
    </xf>
    <xf numFmtId="0" fontId="27" fillId="2" borderId="5" xfId="1" applyFont="1" applyFill="1" applyBorder="1" applyAlignment="1">
      <alignment horizontal="left" vertical="center" wrapText="1"/>
    </xf>
    <xf numFmtId="0" fontId="27" fillId="2" borderId="6" xfId="1" applyFont="1" applyFill="1" applyBorder="1" applyAlignment="1">
      <alignment horizontal="left" vertical="center" wrapText="1"/>
    </xf>
    <xf numFmtId="0" fontId="27" fillId="2" borderId="7" xfId="1" applyFont="1" applyFill="1" applyBorder="1" applyAlignment="1">
      <alignment horizontal="left" vertical="center" wrapText="1"/>
    </xf>
    <xf numFmtId="0" fontId="27" fillId="2" borderId="8" xfId="1" applyFont="1" applyFill="1" applyBorder="1" applyAlignment="1">
      <alignment horizontal="left" vertical="center" wrapText="1"/>
    </xf>
    <xf numFmtId="168" fontId="5" fillId="5" borderId="2" xfId="1" applyNumberFormat="1" applyFont="1" applyFill="1" applyBorder="1" applyAlignment="1" applyProtection="1">
      <alignment horizontal="center" vertical="center"/>
      <protection locked="0"/>
    </xf>
    <xf numFmtId="168" fontId="5" fillId="5" borderId="3" xfId="1" applyNumberFormat="1" applyFont="1" applyFill="1" applyBorder="1" applyAlignment="1" applyProtection="1">
      <alignment horizontal="center" vertical="center"/>
      <protection locked="0"/>
    </xf>
    <xf numFmtId="168" fontId="5" fillId="5" borderId="7" xfId="1" applyNumberFormat="1" applyFont="1" applyFill="1" applyBorder="1" applyAlignment="1" applyProtection="1">
      <alignment horizontal="center" vertical="center"/>
      <protection locked="0"/>
    </xf>
    <xf numFmtId="168" fontId="5" fillId="5" borderId="8" xfId="1" applyNumberFormat="1" applyFont="1" applyFill="1" applyBorder="1" applyAlignment="1" applyProtection="1">
      <alignment horizontal="center" vertical="center"/>
      <protection locked="0"/>
    </xf>
    <xf numFmtId="0" fontId="24" fillId="5" borderId="6" xfId="1" applyFont="1" applyFill="1" applyBorder="1" applyAlignment="1">
      <alignment horizontal="center" vertical="center"/>
    </xf>
    <xf numFmtId="0" fontId="24" fillId="5" borderId="7" xfId="1" applyFont="1" applyFill="1" applyBorder="1" applyAlignment="1">
      <alignment horizontal="center" vertical="center"/>
    </xf>
    <xf numFmtId="0" fontId="19" fillId="2" borderId="1" xfId="1" applyFont="1" applyFill="1" applyBorder="1" applyAlignment="1">
      <alignment horizontal="right" vertical="center"/>
    </xf>
    <xf numFmtId="0" fontId="19" fillId="2" borderId="2" xfId="1" applyFont="1" applyFill="1" applyBorder="1" applyAlignment="1">
      <alignment horizontal="right" vertical="center"/>
    </xf>
    <xf numFmtId="0" fontId="19" fillId="2" borderId="6" xfId="1" applyFont="1" applyFill="1" applyBorder="1" applyAlignment="1">
      <alignment horizontal="right" vertical="center"/>
    </xf>
    <xf numFmtId="0" fontId="19" fillId="2" borderId="7" xfId="1" applyFont="1" applyFill="1" applyBorder="1" applyAlignment="1">
      <alignment horizontal="right" vertical="center"/>
    </xf>
    <xf numFmtId="0" fontId="19" fillId="2" borderId="2" xfId="1" applyFont="1" applyFill="1" applyBorder="1" applyAlignment="1">
      <alignment horizontal="left" vertical="center"/>
    </xf>
    <xf numFmtId="0" fontId="19" fillId="2" borderId="7" xfId="1" applyFont="1" applyFill="1" applyBorder="1" applyAlignment="1">
      <alignment horizontal="left" vertical="center"/>
    </xf>
    <xf numFmtId="0" fontId="19" fillId="5" borderId="1" xfId="1" applyFont="1" applyFill="1" applyBorder="1" applyAlignment="1">
      <alignment horizontal="right" vertical="center"/>
    </xf>
    <xf numFmtId="0" fontId="19" fillId="5" borderId="2" xfId="1" applyFont="1" applyFill="1" applyBorder="1" applyAlignment="1">
      <alignment horizontal="right" vertical="center"/>
    </xf>
    <xf numFmtId="0" fontId="19" fillId="5" borderId="6" xfId="1" applyFont="1" applyFill="1" applyBorder="1" applyAlignment="1">
      <alignment horizontal="right" vertical="center"/>
    </xf>
    <xf numFmtId="0" fontId="19" fillId="5" borderId="7" xfId="1" applyFont="1" applyFill="1" applyBorder="1" applyAlignment="1">
      <alignment horizontal="right" vertical="center"/>
    </xf>
    <xf numFmtId="9" fontId="19" fillId="5" borderId="2" xfId="1" applyNumberFormat="1" applyFont="1" applyFill="1" applyBorder="1" applyAlignment="1" applyProtection="1">
      <alignment horizontal="left" vertical="center"/>
      <protection locked="0"/>
    </xf>
    <xf numFmtId="9" fontId="19" fillId="5" borderId="7" xfId="1" applyNumberFormat="1" applyFont="1" applyFill="1" applyBorder="1" applyAlignment="1" applyProtection="1">
      <alignment horizontal="left" vertical="center"/>
      <protection locked="0"/>
    </xf>
    <xf numFmtId="0" fontId="6" fillId="5" borderId="1" xfId="1" applyFont="1" applyFill="1" applyBorder="1" applyAlignment="1">
      <alignment horizontal="center" vertical="center"/>
    </xf>
    <xf numFmtId="0" fontId="6" fillId="5" borderId="2" xfId="1" applyFont="1" applyFill="1" applyBorder="1" applyAlignment="1">
      <alignment horizontal="center" vertical="center"/>
    </xf>
    <xf numFmtId="0" fontId="29" fillId="5" borderId="2" xfId="1" applyFont="1" applyFill="1" applyBorder="1" applyAlignment="1">
      <alignment horizontal="center" vertical="center"/>
    </xf>
    <xf numFmtId="0" fontId="29" fillId="5" borderId="7" xfId="1" applyFont="1" applyFill="1" applyBorder="1" applyAlignment="1">
      <alignment horizontal="center" vertical="center"/>
    </xf>
    <xf numFmtId="14" fontId="6" fillId="2" borderId="5" xfId="1" applyNumberFormat="1" applyFont="1" applyFill="1" applyBorder="1" applyAlignment="1">
      <alignment horizontal="center"/>
    </xf>
    <xf numFmtId="165" fontId="5" fillId="2" borderId="4" xfId="1" applyNumberFormat="1" applyFont="1" applyFill="1" applyBorder="1" applyAlignment="1">
      <alignment horizontal="center"/>
    </xf>
    <xf numFmtId="165" fontId="5" fillId="2" borderId="0" xfId="1" applyNumberFormat="1" applyFont="1" applyFill="1" applyAlignment="1">
      <alignment horizontal="center"/>
    </xf>
    <xf numFmtId="165" fontId="5" fillId="2" borderId="5" xfId="1" applyNumberFormat="1" applyFont="1" applyFill="1" applyBorder="1" applyAlignment="1">
      <alignment horizontal="center"/>
    </xf>
    <xf numFmtId="0" fontId="6" fillId="2" borderId="0" xfId="1" applyFont="1" applyFill="1" applyAlignment="1">
      <alignment horizontal="center"/>
    </xf>
    <xf numFmtId="0" fontId="6" fillId="3" borderId="1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29" fillId="3" borderId="2" xfId="1" applyFont="1" applyFill="1" applyBorder="1" applyAlignment="1">
      <alignment horizontal="center" vertical="center"/>
    </xf>
    <xf numFmtId="0" fontId="29" fillId="3" borderId="7" xfId="1" applyFont="1" applyFill="1" applyBorder="1" applyAlignment="1">
      <alignment horizontal="center" vertical="center"/>
    </xf>
    <xf numFmtId="168" fontId="5" fillId="3" borderId="2" xfId="1" applyNumberFormat="1" applyFont="1" applyFill="1" applyBorder="1" applyAlignment="1">
      <alignment horizontal="center" vertical="center"/>
    </xf>
    <xf numFmtId="168" fontId="5" fillId="3" borderId="3" xfId="1" applyNumberFormat="1" applyFont="1" applyFill="1" applyBorder="1" applyAlignment="1">
      <alignment horizontal="center" vertical="center"/>
    </xf>
    <xf numFmtId="168" fontId="5" fillId="3" borderId="7" xfId="1" applyNumberFormat="1" applyFont="1" applyFill="1" applyBorder="1" applyAlignment="1">
      <alignment horizontal="center" vertical="center"/>
    </xf>
    <xf numFmtId="168" fontId="5" fillId="3" borderId="8" xfId="1" applyNumberFormat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72" fillId="2" borderId="0" xfId="1" applyFont="1" applyFill="1" applyAlignment="1">
      <alignment horizontal="center" vertical="center"/>
    </xf>
    <xf numFmtId="0" fontId="24" fillId="3" borderId="6" xfId="1" applyFont="1" applyFill="1" applyBorder="1" applyAlignment="1">
      <alignment horizontal="center" vertical="center"/>
    </xf>
    <xf numFmtId="0" fontId="24" fillId="3" borderId="7" xfId="1" applyFont="1" applyFill="1" applyBorder="1" applyAlignment="1">
      <alignment horizontal="center" vertical="center"/>
    </xf>
    <xf numFmtId="0" fontId="73" fillId="2" borderId="0" xfId="1" applyFont="1" applyFill="1" applyAlignment="1">
      <alignment horizontal="center" vertical="center"/>
    </xf>
    <xf numFmtId="9" fontId="19" fillId="2" borderId="2" xfId="1" applyNumberFormat="1" applyFont="1" applyFill="1" applyBorder="1" applyAlignment="1">
      <alignment horizontal="left" vertical="center"/>
    </xf>
    <xf numFmtId="9" fontId="19" fillId="2" borderId="7" xfId="1" applyNumberFormat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165" fontId="39" fillId="6" borderId="49" xfId="0" applyNumberFormat="1" applyFont="1" applyFill="1" applyBorder="1" applyAlignment="1">
      <alignment horizontal="left" vertical="center"/>
    </xf>
    <xf numFmtId="0" fontId="39" fillId="6" borderId="50" xfId="0" applyFont="1" applyFill="1" applyBorder="1" applyAlignment="1">
      <alignment horizontal="left" vertical="center"/>
    </xf>
    <xf numFmtId="0" fontId="42" fillId="6" borderId="49" xfId="0" applyFont="1" applyFill="1" applyBorder="1" applyAlignment="1">
      <alignment horizontal="center" vertical="center"/>
    </xf>
    <xf numFmtId="0" fontId="42" fillId="6" borderId="50" xfId="0" applyFont="1" applyFill="1" applyBorder="1" applyAlignment="1">
      <alignment horizontal="center" vertical="center"/>
    </xf>
    <xf numFmtId="0" fontId="42" fillId="6" borderId="52" xfId="0" applyFont="1" applyFill="1" applyBorder="1" applyAlignment="1">
      <alignment horizontal="center" vertical="center"/>
    </xf>
    <xf numFmtId="0" fontId="41" fillId="6" borderId="50" xfId="0" applyFont="1" applyFill="1" applyBorder="1" applyAlignment="1">
      <alignment horizontal="center" vertical="center"/>
    </xf>
    <xf numFmtId="0" fontId="41" fillId="6" borderId="52" xfId="0" applyFont="1" applyFill="1" applyBorder="1" applyAlignment="1">
      <alignment horizontal="center" vertical="center"/>
    </xf>
    <xf numFmtId="0" fontId="41" fillId="6" borderId="53" xfId="0" applyFont="1" applyFill="1" applyBorder="1" applyAlignment="1">
      <alignment horizontal="center" vertical="center"/>
    </xf>
    <xf numFmtId="1" fontId="42" fillId="6" borderId="49" xfId="0" applyNumberFormat="1" applyFont="1" applyFill="1" applyBorder="1" applyAlignment="1">
      <alignment horizontal="center" vertical="center"/>
    </xf>
    <xf numFmtId="165" fontId="53" fillId="6" borderId="49" xfId="1" applyNumberFormat="1" applyFont="1" applyFill="1" applyBorder="1" applyAlignment="1">
      <alignment horizontal="center" vertical="center"/>
    </xf>
    <xf numFmtId="165" fontId="53" fillId="6" borderId="50" xfId="1" applyNumberFormat="1" applyFont="1" applyFill="1" applyBorder="1" applyAlignment="1">
      <alignment horizontal="center" vertical="center"/>
    </xf>
    <xf numFmtId="165" fontId="53" fillId="6" borderId="52" xfId="1" applyNumberFormat="1" applyFont="1" applyFill="1" applyBorder="1" applyAlignment="1">
      <alignment horizontal="center" vertical="center"/>
    </xf>
    <xf numFmtId="165" fontId="43" fillId="6" borderId="50" xfId="0" applyNumberFormat="1" applyFont="1" applyFill="1" applyBorder="1" applyAlignment="1">
      <alignment horizontal="center" vertical="center"/>
    </xf>
    <xf numFmtId="165" fontId="43" fillId="6" borderId="54" xfId="0" applyNumberFormat="1" applyFont="1" applyFill="1" applyBorder="1" applyAlignment="1">
      <alignment horizontal="center" vertical="center"/>
    </xf>
    <xf numFmtId="1" fontId="43" fillId="6" borderId="53" xfId="0" applyNumberFormat="1" applyFont="1" applyFill="1" applyBorder="1" applyAlignment="1">
      <alignment horizontal="center" vertical="center"/>
    </xf>
    <xf numFmtId="0" fontId="43" fillId="6" borderId="50" xfId="0" applyFont="1" applyFill="1" applyBorder="1" applyAlignment="1">
      <alignment horizontal="center" vertical="center"/>
    </xf>
    <xf numFmtId="1" fontId="42" fillId="6" borderId="50" xfId="0" applyNumberFormat="1" applyFont="1" applyFill="1" applyBorder="1" applyAlignment="1">
      <alignment horizontal="center" vertical="center"/>
    </xf>
    <xf numFmtId="1" fontId="42" fillId="6" borderId="52" xfId="0" applyNumberFormat="1" applyFont="1" applyFill="1" applyBorder="1" applyAlignment="1">
      <alignment horizontal="center" vertical="center"/>
    </xf>
    <xf numFmtId="165" fontId="43" fillId="6" borderId="53" xfId="0" applyNumberFormat="1" applyFont="1" applyFill="1" applyBorder="1" applyAlignment="1">
      <alignment horizontal="center" vertical="center"/>
    </xf>
    <xf numFmtId="1" fontId="43" fillId="6" borderId="50" xfId="0" applyNumberFormat="1" applyFont="1" applyFill="1" applyBorder="1" applyAlignment="1">
      <alignment horizontal="center" vertical="center"/>
    </xf>
    <xf numFmtId="0" fontId="43" fillId="6" borderId="54" xfId="0" applyFont="1" applyFill="1" applyBorder="1" applyAlignment="1">
      <alignment horizontal="center" vertical="center"/>
    </xf>
    <xf numFmtId="0" fontId="43" fillId="6" borderId="53" xfId="0" applyFont="1" applyFill="1" applyBorder="1" applyAlignment="1">
      <alignment horizontal="center" vertical="center"/>
    </xf>
    <xf numFmtId="0" fontId="70" fillId="2" borderId="3" xfId="1" applyFont="1" applyFill="1" applyBorder="1" applyAlignment="1">
      <alignment horizontal="center" vertical="center"/>
    </xf>
    <xf numFmtId="0" fontId="70" fillId="2" borderId="8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16" fillId="2" borderId="0" xfId="1" applyFont="1" applyFill="1" applyAlignment="1">
      <alignment horizontal="center" vertical="center"/>
    </xf>
    <xf numFmtId="0" fontId="69" fillId="2" borderId="0" xfId="1" applyFont="1" applyFill="1" applyAlignment="1">
      <alignment horizontal="center" vertical="center"/>
    </xf>
    <xf numFmtId="0" fontId="2" fillId="0" borderId="0" xfId="2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chartsheet" Target="chartsheets/sheet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Curva de Potencia / </a:t>
            </a:r>
            <a:r>
              <a:rPr lang="es-ES" sz="1200" b="1" i="1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Power Diagram</a:t>
            </a:r>
            <a:endParaRPr lang="es-ES" sz="1200" b="1" i="0" u="none" strike="noStrike" baseline="0">
              <a:solidFill>
                <a:srgbClr val="000000"/>
              </a:solidFill>
              <a:latin typeface="Arial Narrow" panose="020B0606020202030204" pitchFamily="34" charset="0"/>
              <a:cs typeface="Arial"/>
            </a:endParaRP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 sz="1200" b="1" i="0" u="none" strike="noStrike" baseline="0">
              <a:solidFill>
                <a:srgbClr val="000000"/>
              </a:solidFill>
              <a:latin typeface="Arial Narrow" panose="020B0606020202030204" pitchFamily="34" charset="0"/>
              <a:cs typeface="Arial"/>
            </a:endParaRPr>
          </a:p>
        </c:rich>
      </c:tx>
      <c:layout>
        <c:manualLayout>
          <c:xMode val="edge"/>
          <c:yMode val="edge"/>
          <c:x val="0.36488244492352689"/>
          <c:y val="3.31997035402421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75637552452928"/>
          <c:y val="0.17787418655097623"/>
          <c:w val="0.86239611656260762"/>
          <c:h val="0.69465447392324364"/>
        </c:manualLayout>
      </c:layout>
      <c:scatterChart>
        <c:scatterStyle val="smoothMarker"/>
        <c:varyColors val="0"/>
        <c:ser>
          <c:idx val="4"/>
          <c:order val="0"/>
          <c:tx>
            <c:strRef>
              <c:f>'driving mode datasheet'!$W$99</c:f>
              <c:strCache>
                <c:ptCount val="1"/>
                <c:pt idx="0">
                  <c:v>KW limit</c:v>
                </c:pt>
              </c:strCache>
            </c:strRef>
          </c:tx>
          <c:spPr>
            <a:ln>
              <a:solidFill>
                <a:schemeClr val="bg1">
                  <a:lumMod val="6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'driving mode datasheet'!$V$100:$V$131</c:f>
              <c:numCache>
                <c:formatCode>0</c:formatCode>
                <c:ptCount val="32"/>
                <c:pt idx="0">
                  <c:v>10</c:v>
                </c:pt>
                <c:pt idx="1">
                  <c:v>695.26007394967041</c:v>
                </c:pt>
                <c:pt idx="2">
                  <c:v>695.26007394967041</c:v>
                </c:pt>
                <c:pt idx="3">
                  <c:v>764.78608134463752</c:v>
                </c:pt>
                <c:pt idx="4">
                  <c:v>841.26468947910132</c:v>
                </c:pt>
                <c:pt idx="5">
                  <c:v>925.39115842701153</c:v>
                </c:pt>
                <c:pt idx="6">
                  <c:v>1017.9302742697128</c:v>
                </c:pt>
                <c:pt idx="7">
                  <c:v>1119.7233016966841</c:v>
                </c:pt>
                <c:pt idx="8">
                  <c:v>1231.6956318663526</c:v>
                </c:pt>
                <c:pt idx="9">
                  <c:v>1354.8651950529879</c:v>
                </c:pt>
                <c:pt idx="10">
                  <c:v>1490.3517145582869</c:v>
                </c:pt>
                <c:pt idx="11">
                  <c:v>1639.3868860141156</c:v>
                </c:pt>
                <c:pt idx="12">
                  <c:v>1803.3255746155273</c:v>
                </c:pt>
                <c:pt idx="13">
                  <c:v>1983.6581320770802</c:v>
                </c:pt>
                <c:pt idx="14">
                  <c:v>2182.0239452847882</c:v>
                </c:pt>
                <c:pt idx="15">
                  <c:v>2400.2263398132673</c:v>
                </c:pt>
                <c:pt idx="16">
                  <c:v>2640.2489737945943</c:v>
                </c:pt>
                <c:pt idx="17">
                  <c:v>2904.273871174054</c:v>
                </c:pt>
                <c:pt idx="18">
                  <c:v>3194.7012582914595</c:v>
                </c:pt>
                <c:pt idx="19">
                  <c:v>3340</c:v>
                </c:pt>
                <c:pt idx="20">
                  <c:v>3340</c:v>
                </c:pt>
                <c:pt idx="21">
                  <c:v>3340</c:v>
                </c:pt>
                <c:pt idx="22">
                  <c:v>3340</c:v>
                </c:pt>
                <c:pt idx="23">
                  <c:v>3340</c:v>
                </c:pt>
                <c:pt idx="24">
                  <c:v>3340</c:v>
                </c:pt>
                <c:pt idx="25">
                  <c:v>3340</c:v>
                </c:pt>
                <c:pt idx="26">
                  <c:v>3340</c:v>
                </c:pt>
                <c:pt idx="27">
                  <c:v>3340</c:v>
                </c:pt>
                <c:pt idx="28">
                  <c:v>3340</c:v>
                </c:pt>
                <c:pt idx="29">
                  <c:v>3340</c:v>
                </c:pt>
                <c:pt idx="30">
                  <c:v>3340</c:v>
                </c:pt>
                <c:pt idx="31">
                  <c:v>3340</c:v>
                </c:pt>
              </c:numCache>
            </c:numRef>
          </c:xVal>
          <c:yVal>
            <c:numRef>
              <c:f>'driving mode datasheet'!$W$100:$W$131</c:f>
              <c:numCache>
                <c:formatCode>0</c:formatCode>
                <c:ptCount val="32"/>
                <c:pt idx="0">
                  <c:v>14.369908939108049</c:v>
                </c:pt>
                <c:pt idx="1">
                  <c:v>999.08239516542903</c:v>
                </c:pt>
                <c:pt idx="2">
                  <c:v>999.08239516542903</c:v>
                </c:pt>
                <c:pt idx="3">
                  <c:v>918.96701110799643</c:v>
                </c:pt>
                <c:pt idx="4">
                  <c:v>845.27599684601739</c:v>
                </c:pt>
                <c:pt idx="5">
                  <c:v>777.49418880941914</c:v>
                </c:pt>
                <c:pt idx="6">
                  <c:v>715.14773386205263</c:v>
                </c:pt>
                <c:pt idx="7">
                  <c:v>657.80077666071588</c:v>
                </c:pt>
                <c:pt idx="8">
                  <c:v>605.05241265143457</c:v>
                </c:pt>
                <c:pt idx="9">
                  <c:v>556.53388540181822</c:v>
                </c:pt>
                <c:pt idx="10">
                  <c:v>511.90600867643656</c:v>
                </c:pt>
                <c:pt idx="11">
                  <c:v>470.8567952333056</c:v>
                </c:pt>
                <c:pt idx="12">
                  <c:v>433.09927576473171</c:v>
                </c:pt>
                <c:pt idx="13">
                  <c:v>398.36949273503268</c:v>
                </c:pt>
                <c:pt idx="14">
                  <c:v>366.4246550903386</c:v>
                </c:pt>
                <c:pt idx="15">
                  <c:v>337.04144094030448</c:v>
                </c:pt>
                <c:pt idx="16">
                  <c:v>310.0144363460218</c:v>
                </c:pt>
                <c:pt idx="17">
                  <c:v>285.15469929991218</c:v>
                </c:pt>
                <c:pt idx="18">
                  <c:v>262.28843885858845</c:v>
                </c:pt>
                <c:pt idx="19">
                  <c:v>252.25444546068994</c:v>
                </c:pt>
                <c:pt idx="20">
                  <c:v>252.25444546068994</c:v>
                </c:pt>
                <c:pt idx="21">
                  <c:v>252.25444546068994</c:v>
                </c:pt>
                <c:pt idx="22">
                  <c:v>252.25444546068994</c:v>
                </c:pt>
                <c:pt idx="23">
                  <c:v>252.25444546068994</c:v>
                </c:pt>
                <c:pt idx="24">
                  <c:v>252.25444546068994</c:v>
                </c:pt>
                <c:pt idx="25">
                  <c:v>252.25444546068994</c:v>
                </c:pt>
                <c:pt idx="26">
                  <c:v>252.25444546068994</c:v>
                </c:pt>
                <c:pt idx="27">
                  <c:v>252.25444546068994</c:v>
                </c:pt>
                <c:pt idx="28">
                  <c:v>252.25444546068994</c:v>
                </c:pt>
                <c:pt idx="29">
                  <c:v>252.25444546068994</c:v>
                </c:pt>
                <c:pt idx="30">
                  <c:v>252.25444546068994</c:v>
                </c:pt>
                <c:pt idx="31">
                  <c:v>252.25444546068994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C39-4C02-874B-83E3B83E00D4}"/>
            </c:ext>
          </c:extLst>
        </c:ser>
        <c:ser>
          <c:idx val="1"/>
          <c:order val="1"/>
          <c:tx>
            <c:strRef>
              <c:f>'driving mode datasheet'!$T$99</c:f>
              <c:strCache>
                <c:ptCount val="1"/>
                <c:pt idx="0">
                  <c:v>kW S6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datasheet'!$S$100:$S$131</c:f>
              <c:numCache>
                <c:formatCode>0</c:formatCode>
                <c:ptCount val="32"/>
                <c:pt idx="0">
                  <c:v>10</c:v>
                </c:pt>
                <c:pt idx="1">
                  <c:v>837.48800000000006</c:v>
                </c:pt>
                <c:pt idx="2">
                  <c:v>837.48800000000006</c:v>
                </c:pt>
                <c:pt idx="3">
                  <c:v>837.61622624683116</c:v>
                </c:pt>
                <c:pt idx="4">
                  <c:v>837.74445249366227</c:v>
                </c:pt>
                <c:pt idx="5">
                  <c:v>837.87267874049337</c:v>
                </c:pt>
                <c:pt idx="6">
                  <c:v>838.00090498732447</c:v>
                </c:pt>
                <c:pt idx="7">
                  <c:v>838.12913123415558</c:v>
                </c:pt>
                <c:pt idx="8">
                  <c:v>838.25735748098668</c:v>
                </c:pt>
                <c:pt idx="9">
                  <c:v>838.38558372781779</c:v>
                </c:pt>
                <c:pt idx="10">
                  <c:v>838.51380997464889</c:v>
                </c:pt>
                <c:pt idx="11">
                  <c:v>838.64203622148</c:v>
                </c:pt>
                <c:pt idx="12">
                  <c:v>838.77026246831065</c:v>
                </c:pt>
                <c:pt idx="13">
                  <c:v>838.77026246831065</c:v>
                </c:pt>
                <c:pt idx="14">
                  <c:v>922.64728871514183</c:v>
                </c:pt>
                <c:pt idx="15">
                  <c:v>1014.9120175866561</c:v>
                </c:pt>
                <c:pt idx="16">
                  <c:v>1116.4032193453218</c:v>
                </c:pt>
                <c:pt idx="17">
                  <c:v>1228.043541279854</c:v>
                </c:pt>
                <c:pt idx="18">
                  <c:v>1350.8478954078396</c:v>
                </c:pt>
                <c:pt idx="19">
                  <c:v>1485.9326849486238</c:v>
                </c:pt>
                <c:pt idx="20">
                  <c:v>1634.5259534434863</c:v>
                </c:pt>
                <c:pt idx="21">
                  <c:v>1797.9785487878351</c:v>
                </c:pt>
                <c:pt idx="22">
                  <c:v>1977.7764036666188</c:v>
                </c:pt>
                <c:pt idx="23">
                  <c:v>2175.5540440332807</c:v>
                </c:pt>
                <c:pt idx="24">
                  <c:v>2393.109448436609</c:v>
                </c:pt>
                <c:pt idx="25">
                  <c:v>2632.4203932802702</c:v>
                </c:pt>
                <c:pt idx="26">
                  <c:v>2895.6624326082974</c:v>
                </c:pt>
                <c:pt idx="27">
                  <c:v>3185.2286758691275</c:v>
                </c:pt>
                <c:pt idx="28">
                  <c:v>3340</c:v>
                </c:pt>
                <c:pt idx="29">
                  <c:v>3340</c:v>
                </c:pt>
                <c:pt idx="30">
                  <c:v>3340</c:v>
                </c:pt>
                <c:pt idx="31">
                  <c:v>3340</c:v>
                </c:pt>
              </c:numCache>
            </c:numRef>
          </c:xVal>
          <c:yVal>
            <c:numRef>
              <c:f>'driving mode datasheet'!$T$100:$T$131</c:f>
              <c:numCache>
                <c:formatCode>0.0</c:formatCode>
                <c:ptCount val="32"/>
                <c:pt idx="0">
                  <c:v>9.6741887416322854</c:v>
                </c:pt>
                <c:pt idx="1">
                  <c:v>810.20169808521393</c:v>
                </c:pt>
                <c:pt idx="2">
                  <c:v>810.20169808521393</c:v>
                </c:pt>
                <c:pt idx="3">
                  <c:v>810.20169808521382</c:v>
                </c:pt>
                <c:pt idx="4">
                  <c:v>810.20169808521382</c:v>
                </c:pt>
                <c:pt idx="5">
                  <c:v>810.20169808521382</c:v>
                </c:pt>
                <c:pt idx="6">
                  <c:v>810.20169808521382</c:v>
                </c:pt>
                <c:pt idx="7">
                  <c:v>810.20169808521382</c:v>
                </c:pt>
                <c:pt idx="8">
                  <c:v>810.20169808521382</c:v>
                </c:pt>
                <c:pt idx="9">
                  <c:v>810.20169808521382</c:v>
                </c:pt>
                <c:pt idx="10">
                  <c:v>810.20169808521382</c:v>
                </c:pt>
                <c:pt idx="11">
                  <c:v>810.20169808521382</c:v>
                </c:pt>
                <c:pt idx="12">
                  <c:v>810.20169808521382</c:v>
                </c:pt>
                <c:pt idx="13">
                  <c:v>810.20169808521382</c:v>
                </c:pt>
                <c:pt idx="14">
                  <c:v>745.2324617938134</c:v>
                </c:pt>
                <c:pt idx="15">
                  <c:v>685.47304137204583</c:v>
                </c:pt>
                <c:pt idx="16">
                  <c:v>630.50566707310782</c:v>
                </c:pt>
                <c:pt idx="17">
                  <c:v>579.94606967415075</c:v>
                </c:pt>
                <c:pt idx="18">
                  <c:v>533.44079410391123</c:v>
                </c:pt>
                <c:pt idx="19">
                  <c:v>490.66472848776118</c:v>
                </c:pt>
                <c:pt idx="20">
                  <c:v>451.31883133608142</c:v>
                </c:pt>
                <c:pt idx="21">
                  <c:v>415.12804098704845</c:v>
                </c:pt>
                <c:pt idx="22">
                  <c:v>381.83935268904264</c:v>
                </c:pt>
                <c:pt idx="23">
                  <c:v>351.22004987982967</c:v>
                </c:pt>
                <c:pt idx="24">
                  <c:v>323.0560772976342</c:v>
                </c:pt>
                <c:pt idx="25">
                  <c:v>297.15054455075591</c:v>
                </c:pt>
                <c:pt idx="26">
                  <c:v>273.32234968438843</c:v>
                </c:pt>
                <c:pt idx="27">
                  <c:v>251.40491312219288</c:v>
                </c:pt>
                <c:pt idx="28">
                  <c:v>241.15842028972909</c:v>
                </c:pt>
                <c:pt idx="29">
                  <c:v>241.15842028972909</c:v>
                </c:pt>
                <c:pt idx="30">
                  <c:v>241.15842028972909</c:v>
                </c:pt>
                <c:pt idx="31">
                  <c:v>241.15842028972909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C39-4C02-874B-83E3B83E00D4}"/>
            </c:ext>
          </c:extLst>
        </c:ser>
        <c:ser>
          <c:idx val="0"/>
          <c:order val="2"/>
          <c:tx>
            <c:strRef>
              <c:f>'driving mode datasheet'!$Q$99</c:f>
              <c:strCache>
                <c:ptCount val="1"/>
                <c:pt idx="0">
                  <c:v>kW S1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datasheet'!$P$100:$P$131</c:f>
              <c:numCache>
                <c:formatCode>0</c:formatCode>
                <c:ptCount val="32"/>
                <c:pt idx="0">
                  <c:v>10</c:v>
                </c:pt>
                <c:pt idx="1">
                  <c:v>837.48800000000006</c:v>
                </c:pt>
                <c:pt idx="2">
                  <c:v>837.48800000000006</c:v>
                </c:pt>
                <c:pt idx="3">
                  <c:v>885.90768591302026</c:v>
                </c:pt>
                <c:pt idx="4">
                  <c:v>934.32737182604046</c:v>
                </c:pt>
                <c:pt idx="5">
                  <c:v>982.74705773906066</c:v>
                </c:pt>
                <c:pt idx="6">
                  <c:v>1031.1667436520809</c:v>
                </c:pt>
                <c:pt idx="7">
                  <c:v>1079.5864295651011</c:v>
                </c:pt>
                <c:pt idx="8">
                  <c:v>1128.0061154781213</c:v>
                </c:pt>
                <c:pt idx="9">
                  <c:v>1176.4258013911415</c:v>
                </c:pt>
                <c:pt idx="10">
                  <c:v>1224.8454873041617</c:v>
                </c:pt>
                <c:pt idx="11">
                  <c:v>1273.2651732171819</c:v>
                </c:pt>
                <c:pt idx="12">
                  <c:v>1321.6848591302021</c:v>
                </c:pt>
                <c:pt idx="13">
                  <c:v>1321.6848591302021</c:v>
                </c:pt>
                <c:pt idx="14">
                  <c:v>1453.8533450432224</c:v>
                </c:pt>
                <c:pt idx="15">
                  <c:v>1599.2386795475447</c:v>
                </c:pt>
                <c:pt idx="16">
                  <c:v>1759.1625475022993</c:v>
                </c:pt>
                <c:pt idx="17">
                  <c:v>1935.0788022525294</c:v>
                </c:pt>
                <c:pt idx="18">
                  <c:v>2128.5866824777827</c:v>
                </c:pt>
                <c:pt idx="19">
                  <c:v>2341.4453507255612</c:v>
                </c:pt>
                <c:pt idx="20">
                  <c:v>2575.5898857981174</c:v>
                </c:pt>
                <c:pt idx="21">
                  <c:v>2833.1488743779296</c:v>
                </c:pt>
                <c:pt idx="22">
                  <c:v>3116.4637618157226</c:v>
                </c:pt>
                <c:pt idx="23">
                  <c:v>3340</c:v>
                </c:pt>
                <c:pt idx="24">
                  <c:v>3340</c:v>
                </c:pt>
                <c:pt idx="25">
                  <c:v>3340</c:v>
                </c:pt>
                <c:pt idx="26">
                  <c:v>3340</c:v>
                </c:pt>
                <c:pt idx="27">
                  <c:v>3340</c:v>
                </c:pt>
                <c:pt idx="28">
                  <c:v>3340</c:v>
                </c:pt>
                <c:pt idx="29">
                  <c:v>3340</c:v>
                </c:pt>
                <c:pt idx="30">
                  <c:v>3340</c:v>
                </c:pt>
                <c:pt idx="31">
                  <c:v>3340</c:v>
                </c:pt>
              </c:numCache>
            </c:numRef>
          </c:xVal>
          <c:yVal>
            <c:numRef>
              <c:f>'driving mode datasheet'!$Q$100:$Q$131</c:f>
              <c:numCache>
                <c:formatCode>0.0</c:formatCode>
                <c:ptCount val="32"/>
                <c:pt idx="0">
                  <c:v>12.932918045197244</c:v>
                </c:pt>
                <c:pt idx="1">
                  <c:v>543.74953730905247</c:v>
                </c:pt>
                <c:pt idx="2">
                  <c:v>543.74953730905247</c:v>
                </c:pt>
                <c:pt idx="3">
                  <c:v>543.74953730905247</c:v>
                </c:pt>
                <c:pt idx="4">
                  <c:v>543.74953730905247</c:v>
                </c:pt>
                <c:pt idx="5">
                  <c:v>543.74953730905247</c:v>
                </c:pt>
                <c:pt idx="6">
                  <c:v>543.74953730905247</c:v>
                </c:pt>
                <c:pt idx="7">
                  <c:v>543.74953730905247</c:v>
                </c:pt>
                <c:pt idx="8">
                  <c:v>543.74953730905247</c:v>
                </c:pt>
                <c:pt idx="9">
                  <c:v>543.74953730905247</c:v>
                </c:pt>
                <c:pt idx="10">
                  <c:v>543.74953730905247</c:v>
                </c:pt>
                <c:pt idx="11">
                  <c:v>543.74953730905247</c:v>
                </c:pt>
                <c:pt idx="12">
                  <c:v>543.74953730905247</c:v>
                </c:pt>
                <c:pt idx="13">
                  <c:v>543.74953730905247</c:v>
                </c:pt>
                <c:pt idx="14">
                  <c:v>500.1468242361704</c:v>
                </c:pt>
                <c:pt idx="15">
                  <c:v>460.04056763242835</c:v>
                </c:pt>
                <c:pt idx="16">
                  <c:v>423.15039026946062</c:v>
                </c:pt>
                <c:pt idx="17">
                  <c:v>389.21839807888966</c:v>
                </c:pt>
                <c:pt idx="18">
                  <c:v>358.00737725097713</c:v>
                </c:pt>
                <c:pt idx="19">
                  <c:v>329.29913590607077</c:v>
                </c:pt>
                <c:pt idx="20">
                  <c:v>302.89297874570246</c:v>
                </c:pt>
                <c:pt idx="21">
                  <c:v>278.60430401983695</c:v>
                </c:pt>
                <c:pt idx="22">
                  <c:v>256.26331300186678</c:v>
                </c:pt>
                <c:pt idx="23">
                  <c:v>241.15842028972924</c:v>
                </c:pt>
                <c:pt idx="24">
                  <c:v>241.15842028972924</c:v>
                </c:pt>
                <c:pt idx="25">
                  <c:v>241.15842028972924</c:v>
                </c:pt>
                <c:pt idx="26">
                  <c:v>241.15842028972924</c:v>
                </c:pt>
                <c:pt idx="27">
                  <c:v>241.15842028972924</c:v>
                </c:pt>
                <c:pt idx="28">
                  <c:v>241.15842028972924</c:v>
                </c:pt>
                <c:pt idx="29">
                  <c:v>241.15842028972924</c:v>
                </c:pt>
                <c:pt idx="30">
                  <c:v>241.15842028972924</c:v>
                </c:pt>
                <c:pt idx="31">
                  <c:v>241.15842028972924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C39-4C02-874B-83E3B83E00D4}"/>
            </c:ext>
          </c:extLst>
        </c:ser>
        <c:ser>
          <c:idx val="2"/>
          <c:order val="3"/>
          <c:tx>
            <c:strRef>
              <c:f>'driving mode datasheet'!$B$115</c:f>
              <c:strCache>
                <c:ptCount val="1"/>
                <c:pt idx="0">
                  <c:v>KW 1</c:v>
                </c:pt>
              </c:strCache>
            </c:strRef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'driving mode datasheet'!$A$116:$A$135</c:f>
              <c:numCache>
                <c:formatCode>0</c:formatCode>
                <c:ptCount val="20"/>
              </c:numCache>
            </c:numRef>
          </c:xVal>
          <c:yVal>
            <c:numRef>
              <c:f>'driving mode datasheet'!$B$116:$B$135</c:f>
              <c:numCache>
                <c:formatCode>0.0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5C39-4C02-874B-83E3B83E00D4}"/>
            </c:ext>
          </c:extLst>
        </c:ser>
        <c:ser>
          <c:idx val="3"/>
          <c:order val="4"/>
          <c:tx>
            <c:strRef>
              <c:f>'driving mode datasheet'!$C$115</c:f>
              <c:strCache>
                <c:ptCount val="1"/>
                <c:pt idx="0">
                  <c:v>KW 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datasheet'!$A$116:$A$135</c:f>
              <c:numCache>
                <c:formatCode>0</c:formatCode>
                <c:ptCount val="20"/>
              </c:numCache>
            </c:numRef>
          </c:xVal>
          <c:yVal>
            <c:numRef>
              <c:f>'driving mode datasheet'!$C$116:$C$135</c:f>
              <c:numCache>
                <c:formatCode>0.0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5C39-4C02-874B-83E3B83E0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048512"/>
        <c:axId val="124050432"/>
      </c:scatterChart>
      <c:valAx>
        <c:axId val="124048512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rpm</a:t>
                </a:r>
              </a:p>
            </c:rich>
          </c:tx>
          <c:layout>
            <c:manualLayout>
              <c:xMode val="edge"/>
              <c:yMode val="edge"/>
              <c:x val="0.51692603872629128"/>
              <c:y val="0.9310969568294410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n-US"/>
          </a:p>
        </c:txPr>
        <c:crossAx val="124050432"/>
        <c:crosses val="autoZero"/>
        <c:crossBetween val="midCat"/>
      </c:valAx>
      <c:valAx>
        <c:axId val="124050432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KW</a:t>
                </a:r>
              </a:p>
            </c:rich>
          </c:tx>
          <c:layout>
            <c:manualLayout>
              <c:xMode val="edge"/>
              <c:yMode val="edge"/>
              <c:x val="3.4137714799842366E-2"/>
              <c:y val="0.4527005143465346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n-US"/>
          </a:p>
        </c:txPr>
        <c:crossAx val="124048512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146806227181589"/>
          <c:y val="9.6625151155468686E-2"/>
          <c:w val="0.86352895104063121"/>
          <c:h val="7.263041164440435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 panose="020B0606020202030204" pitchFamily="34" charset="0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" footer="0"/>
    <c:pageSetup paperSize="9" orientation="landscape" horizontalDpi="1200" verticalDpi="12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Curva de Par / </a:t>
            </a:r>
            <a:r>
              <a:rPr lang="es-ES" sz="1200" b="1" i="1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Torque Diagram</a:t>
            </a:r>
            <a:endParaRPr lang="es-ES" sz="1200" b="1" i="0" u="none" strike="noStrike" baseline="0">
              <a:solidFill>
                <a:srgbClr val="000000"/>
              </a:solidFill>
              <a:latin typeface="Arial Narrow" panose="020B0606020202030204" pitchFamily="34" charset="0"/>
              <a:cs typeface="Arial"/>
            </a:endParaRP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 sz="1200" b="1" i="0" u="none" strike="noStrike" baseline="0">
              <a:solidFill>
                <a:srgbClr val="000000"/>
              </a:solidFill>
              <a:latin typeface="Arial Narrow" panose="020B0606020202030204" pitchFamily="34" charset="0"/>
              <a:cs typeface="Arial"/>
            </a:endParaRPr>
          </a:p>
        </c:rich>
      </c:tx>
      <c:layout>
        <c:manualLayout>
          <c:xMode val="edge"/>
          <c:yMode val="edge"/>
          <c:x val="0.35427833873706976"/>
          <c:y val="3.03687039120109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19085996603371"/>
          <c:y val="0.18568292146276591"/>
          <c:w val="0.86151563995676972"/>
          <c:h val="0.67023076453225727"/>
        </c:manualLayout>
      </c:layout>
      <c:scatterChart>
        <c:scatterStyle val="smoothMarker"/>
        <c:varyColors val="0"/>
        <c:ser>
          <c:idx val="4"/>
          <c:order val="0"/>
          <c:tx>
            <c:strRef>
              <c:f>'driving mode datasheet'!$X$99</c:f>
              <c:strCache>
                <c:ptCount val="1"/>
                <c:pt idx="0">
                  <c:v>Nm Limit</c:v>
                </c:pt>
              </c:strCache>
            </c:strRef>
          </c:tx>
          <c:spPr>
            <a:ln>
              <a:solidFill>
                <a:schemeClr val="bg1">
                  <a:lumMod val="6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'driving mode datasheet'!$V$100:$V$131</c:f>
              <c:numCache>
                <c:formatCode>0</c:formatCode>
                <c:ptCount val="32"/>
                <c:pt idx="0">
                  <c:v>10</c:v>
                </c:pt>
                <c:pt idx="1">
                  <c:v>695.26007394967041</c:v>
                </c:pt>
                <c:pt idx="2">
                  <c:v>695.26007394967041</c:v>
                </c:pt>
                <c:pt idx="3">
                  <c:v>764.78608134463752</c:v>
                </c:pt>
                <c:pt idx="4">
                  <c:v>841.26468947910132</c:v>
                </c:pt>
                <c:pt idx="5">
                  <c:v>925.39115842701153</c:v>
                </c:pt>
                <c:pt idx="6">
                  <c:v>1017.9302742697128</c:v>
                </c:pt>
                <c:pt idx="7">
                  <c:v>1119.7233016966841</c:v>
                </c:pt>
                <c:pt idx="8">
                  <c:v>1231.6956318663526</c:v>
                </c:pt>
                <c:pt idx="9">
                  <c:v>1354.8651950529879</c:v>
                </c:pt>
                <c:pt idx="10">
                  <c:v>1490.3517145582869</c:v>
                </c:pt>
                <c:pt idx="11">
                  <c:v>1639.3868860141156</c:v>
                </c:pt>
                <c:pt idx="12">
                  <c:v>1803.3255746155273</c:v>
                </c:pt>
                <c:pt idx="13">
                  <c:v>1983.6581320770802</c:v>
                </c:pt>
                <c:pt idx="14">
                  <c:v>2182.0239452847882</c:v>
                </c:pt>
                <c:pt idx="15">
                  <c:v>2400.2263398132673</c:v>
                </c:pt>
                <c:pt idx="16">
                  <c:v>2640.2489737945943</c:v>
                </c:pt>
                <c:pt idx="17">
                  <c:v>2904.273871174054</c:v>
                </c:pt>
                <c:pt idx="18">
                  <c:v>3194.7012582914595</c:v>
                </c:pt>
                <c:pt idx="19">
                  <c:v>3340</c:v>
                </c:pt>
                <c:pt idx="20">
                  <c:v>3340</c:v>
                </c:pt>
                <c:pt idx="21">
                  <c:v>3340</c:v>
                </c:pt>
                <c:pt idx="22">
                  <c:v>3340</c:v>
                </c:pt>
                <c:pt idx="23">
                  <c:v>3340</c:v>
                </c:pt>
                <c:pt idx="24">
                  <c:v>3340</c:v>
                </c:pt>
                <c:pt idx="25">
                  <c:v>3340</c:v>
                </c:pt>
                <c:pt idx="26">
                  <c:v>3340</c:v>
                </c:pt>
                <c:pt idx="27">
                  <c:v>3340</c:v>
                </c:pt>
                <c:pt idx="28">
                  <c:v>3340</c:v>
                </c:pt>
                <c:pt idx="29">
                  <c:v>3340</c:v>
                </c:pt>
                <c:pt idx="30">
                  <c:v>3340</c:v>
                </c:pt>
                <c:pt idx="31">
                  <c:v>3340</c:v>
                </c:pt>
              </c:numCache>
            </c:numRef>
          </c:xVal>
          <c:yVal>
            <c:numRef>
              <c:f>'driving mode datasheet'!$X$100:$X$131</c:f>
              <c:numCache>
                <c:formatCode>0.0</c:formatCode>
                <c:ptCount val="32"/>
                <c:pt idx="0">
                  <c:v>13722.252236636758</c:v>
                </c:pt>
                <c:pt idx="1">
                  <c:v>13722.252236636758</c:v>
                </c:pt>
                <c:pt idx="2">
                  <c:v>13722.252236636758</c:v>
                </c:pt>
                <c:pt idx="3">
                  <c:v>11474.435473439036</c:v>
                </c:pt>
                <c:pt idx="4">
                  <c:v>9594.8294174765779</c:v>
                </c:pt>
                <c:pt idx="5">
                  <c:v>8023.1181537057464</c:v>
                </c:pt>
                <c:pt idx="6">
                  <c:v>6708.8660055878318</c:v>
                </c:pt>
                <c:pt idx="7">
                  <c:v>5609.8990714904485</c:v>
                </c:pt>
                <c:pt idx="8">
                  <c:v>4690.9518786181061</c:v>
                </c:pt>
                <c:pt idx="9">
                  <c:v>3922.5357260597571</c:v>
                </c:pt>
                <c:pt idx="10">
                  <c:v>3279.9924024690158</c:v>
                </c:pt>
                <c:pt idx="11">
                  <c:v>2742.7029125012923</c:v>
                </c:pt>
                <c:pt idx="12">
                  <c:v>2293.4258203099998</c:v>
                </c:pt>
                <c:pt idx="13">
                  <c:v>1917.7439777710954</c:v>
                </c:pt>
                <c:pt idx="14">
                  <c:v>1603.6018831340214</c:v>
                </c:pt>
                <c:pt idx="15">
                  <c:v>1340.9188240965088</c:v>
                </c:pt>
                <c:pt idx="16">
                  <c:v>1121.2653911969064</c:v>
                </c:pt>
                <c:pt idx="17">
                  <c:v>937.59298094950589</c:v>
                </c:pt>
                <c:pt idx="18">
                  <c:v>784.0076085710599</c:v>
                </c:pt>
                <c:pt idx="19">
                  <c:v>721.21332776000713</c:v>
                </c:pt>
                <c:pt idx="20">
                  <c:v>721.21332776000713</c:v>
                </c:pt>
                <c:pt idx="21">
                  <c:v>721.21332776000713</c:v>
                </c:pt>
                <c:pt idx="22">
                  <c:v>721.21332776000713</c:v>
                </c:pt>
                <c:pt idx="23">
                  <c:v>721.21332776000713</c:v>
                </c:pt>
                <c:pt idx="24">
                  <c:v>721.21332776000713</c:v>
                </c:pt>
                <c:pt idx="25">
                  <c:v>721.21332776000713</c:v>
                </c:pt>
                <c:pt idx="26">
                  <c:v>721.21332776000713</c:v>
                </c:pt>
                <c:pt idx="27">
                  <c:v>721.21332776000713</c:v>
                </c:pt>
                <c:pt idx="28">
                  <c:v>721.21332776000713</c:v>
                </c:pt>
                <c:pt idx="29">
                  <c:v>721.21332776000713</c:v>
                </c:pt>
                <c:pt idx="30">
                  <c:v>721.21332776000713</c:v>
                </c:pt>
                <c:pt idx="31">
                  <c:v>721.21332776000713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3F7-452B-9680-FEDA1AB08995}"/>
            </c:ext>
          </c:extLst>
        </c:ser>
        <c:ser>
          <c:idx val="1"/>
          <c:order val="1"/>
          <c:tx>
            <c:strRef>
              <c:f>'driving mode datasheet'!$U$99</c:f>
              <c:strCache>
                <c:ptCount val="1"/>
                <c:pt idx="0">
                  <c:v>Nm S6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datasheet'!$S$100:$S$131</c:f>
              <c:numCache>
                <c:formatCode>0</c:formatCode>
                <c:ptCount val="32"/>
                <c:pt idx="0">
                  <c:v>10</c:v>
                </c:pt>
                <c:pt idx="1">
                  <c:v>837.48800000000006</c:v>
                </c:pt>
                <c:pt idx="2">
                  <c:v>837.48800000000006</c:v>
                </c:pt>
                <c:pt idx="3">
                  <c:v>837.61622624683116</c:v>
                </c:pt>
                <c:pt idx="4">
                  <c:v>837.74445249366227</c:v>
                </c:pt>
                <c:pt idx="5">
                  <c:v>837.87267874049337</c:v>
                </c:pt>
                <c:pt idx="6">
                  <c:v>838.00090498732447</c:v>
                </c:pt>
                <c:pt idx="7">
                  <c:v>838.12913123415558</c:v>
                </c:pt>
                <c:pt idx="8">
                  <c:v>838.25735748098668</c:v>
                </c:pt>
                <c:pt idx="9">
                  <c:v>838.38558372781779</c:v>
                </c:pt>
                <c:pt idx="10">
                  <c:v>838.51380997464889</c:v>
                </c:pt>
                <c:pt idx="11">
                  <c:v>838.64203622148</c:v>
                </c:pt>
                <c:pt idx="12">
                  <c:v>838.77026246831065</c:v>
                </c:pt>
                <c:pt idx="13">
                  <c:v>838.77026246831065</c:v>
                </c:pt>
                <c:pt idx="14">
                  <c:v>922.64728871514183</c:v>
                </c:pt>
                <c:pt idx="15">
                  <c:v>1014.9120175866561</c:v>
                </c:pt>
                <c:pt idx="16">
                  <c:v>1116.4032193453218</c:v>
                </c:pt>
                <c:pt idx="17">
                  <c:v>1228.043541279854</c:v>
                </c:pt>
                <c:pt idx="18">
                  <c:v>1350.8478954078396</c:v>
                </c:pt>
                <c:pt idx="19">
                  <c:v>1485.9326849486238</c:v>
                </c:pt>
                <c:pt idx="20">
                  <c:v>1634.5259534434863</c:v>
                </c:pt>
                <c:pt idx="21">
                  <c:v>1797.9785487878351</c:v>
                </c:pt>
                <c:pt idx="22">
                  <c:v>1977.7764036666188</c:v>
                </c:pt>
                <c:pt idx="23">
                  <c:v>2175.5540440332807</c:v>
                </c:pt>
                <c:pt idx="24">
                  <c:v>2393.109448436609</c:v>
                </c:pt>
                <c:pt idx="25">
                  <c:v>2632.4203932802702</c:v>
                </c:pt>
                <c:pt idx="26">
                  <c:v>2895.6624326082974</c:v>
                </c:pt>
                <c:pt idx="27">
                  <c:v>3185.2286758691275</c:v>
                </c:pt>
                <c:pt idx="28">
                  <c:v>3340</c:v>
                </c:pt>
                <c:pt idx="29">
                  <c:v>3340</c:v>
                </c:pt>
                <c:pt idx="30">
                  <c:v>3340</c:v>
                </c:pt>
                <c:pt idx="31">
                  <c:v>3340</c:v>
                </c:pt>
              </c:numCache>
            </c:numRef>
          </c:xVal>
          <c:yVal>
            <c:numRef>
              <c:f>'driving mode datasheet'!$U$100:$U$131</c:f>
              <c:numCache>
                <c:formatCode>0.0</c:formatCode>
                <c:ptCount val="32"/>
                <c:pt idx="0">
                  <c:v>9238.1697518084457</c:v>
                </c:pt>
                <c:pt idx="1">
                  <c:v>9238.1697518084457</c:v>
                </c:pt>
                <c:pt idx="2">
                  <c:v>9238.1697518084457</c:v>
                </c:pt>
                <c:pt idx="3">
                  <c:v>9236.7555291635817</c:v>
                </c:pt>
                <c:pt idx="4">
                  <c:v>9235.341739444204</c:v>
                </c:pt>
                <c:pt idx="5">
                  <c:v>9233.9283824515496</c:v>
                </c:pt>
                <c:pt idx="6">
                  <c:v>9232.5154579869795</c:v>
                </c:pt>
                <c:pt idx="7">
                  <c:v>9231.1029658519728</c:v>
                </c:pt>
                <c:pt idx="8">
                  <c:v>9229.6909058481342</c:v>
                </c:pt>
                <c:pt idx="9">
                  <c:v>9228.2792777771865</c:v>
                </c:pt>
                <c:pt idx="10">
                  <c:v>9226.8680814409745</c:v>
                </c:pt>
                <c:pt idx="11">
                  <c:v>9225.4573166414666</c:v>
                </c:pt>
                <c:pt idx="12">
                  <c:v>9224.046983180755</c:v>
                </c:pt>
                <c:pt idx="13">
                  <c:v>9224.046983180755</c:v>
                </c:pt>
                <c:pt idx="14">
                  <c:v>7713.0729043076162</c:v>
                </c:pt>
                <c:pt idx="15">
                  <c:v>6449.608695146705</c:v>
                </c:pt>
                <c:pt idx="16">
                  <c:v>5393.1102216446761</c:v>
                </c:pt>
                <c:pt idx="17">
                  <c:v>4509.6748093717788</c:v>
                </c:pt>
                <c:pt idx="18">
                  <c:v>3770.9533183025487</c:v>
                </c:pt>
                <c:pt idx="19">
                  <c:v>3153.2404286148376</c:v>
                </c:pt>
                <c:pt idx="20">
                  <c:v>2636.7139450898267</c:v>
                </c:pt>
                <c:pt idx="21">
                  <c:v>2204.7987096515703</c:v>
                </c:pt>
                <c:pt idx="22">
                  <c:v>1843.6347102171603</c:v>
                </c:pt>
                <c:pt idx="23">
                  <c:v>1541.6323176525552</c:v>
                </c:pt>
                <c:pt idx="24">
                  <c:v>1289.1003785401972</c:v>
                </c:pt>
                <c:pt idx="25">
                  <c:v>1077.9352293826282</c:v>
                </c:pt>
                <c:pt idx="26">
                  <c:v>901.36065281432025</c:v>
                </c:pt>
                <c:pt idx="27">
                  <c:v>753.71043110556559</c:v>
                </c:pt>
                <c:pt idx="28">
                  <c:v>689.48900582053682</c:v>
                </c:pt>
                <c:pt idx="29">
                  <c:v>689.48900582053682</c:v>
                </c:pt>
                <c:pt idx="30">
                  <c:v>689.48900582053682</c:v>
                </c:pt>
                <c:pt idx="31">
                  <c:v>689.48900582053682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3F7-452B-9680-FEDA1AB08995}"/>
            </c:ext>
          </c:extLst>
        </c:ser>
        <c:ser>
          <c:idx val="0"/>
          <c:order val="2"/>
          <c:tx>
            <c:strRef>
              <c:f>'driving mode datasheet'!$R$99</c:f>
              <c:strCache>
                <c:ptCount val="1"/>
                <c:pt idx="0">
                  <c:v>Nm S1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datasheet'!$P$100:$P$131</c:f>
              <c:numCache>
                <c:formatCode>0</c:formatCode>
                <c:ptCount val="32"/>
                <c:pt idx="0">
                  <c:v>10</c:v>
                </c:pt>
                <c:pt idx="1">
                  <c:v>837.48800000000006</c:v>
                </c:pt>
                <c:pt idx="2">
                  <c:v>837.48800000000006</c:v>
                </c:pt>
                <c:pt idx="3">
                  <c:v>885.90768591302026</c:v>
                </c:pt>
                <c:pt idx="4">
                  <c:v>934.32737182604046</c:v>
                </c:pt>
                <c:pt idx="5">
                  <c:v>982.74705773906066</c:v>
                </c:pt>
                <c:pt idx="6">
                  <c:v>1031.1667436520809</c:v>
                </c:pt>
                <c:pt idx="7">
                  <c:v>1079.5864295651011</c:v>
                </c:pt>
                <c:pt idx="8">
                  <c:v>1128.0061154781213</c:v>
                </c:pt>
                <c:pt idx="9">
                  <c:v>1176.4258013911415</c:v>
                </c:pt>
                <c:pt idx="10">
                  <c:v>1224.8454873041617</c:v>
                </c:pt>
                <c:pt idx="11">
                  <c:v>1273.2651732171819</c:v>
                </c:pt>
                <c:pt idx="12">
                  <c:v>1321.6848591302021</c:v>
                </c:pt>
                <c:pt idx="13">
                  <c:v>1321.6848591302021</c:v>
                </c:pt>
                <c:pt idx="14">
                  <c:v>1453.8533450432224</c:v>
                </c:pt>
                <c:pt idx="15">
                  <c:v>1599.2386795475447</c:v>
                </c:pt>
                <c:pt idx="16">
                  <c:v>1759.1625475022993</c:v>
                </c:pt>
                <c:pt idx="17">
                  <c:v>1935.0788022525294</c:v>
                </c:pt>
                <c:pt idx="18">
                  <c:v>2128.5866824777827</c:v>
                </c:pt>
                <c:pt idx="19">
                  <c:v>2341.4453507255612</c:v>
                </c:pt>
                <c:pt idx="20">
                  <c:v>2575.5898857981174</c:v>
                </c:pt>
                <c:pt idx="21">
                  <c:v>2833.1488743779296</c:v>
                </c:pt>
                <c:pt idx="22">
                  <c:v>3116.4637618157226</c:v>
                </c:pt>
                <c:pt idx="23">
                  <c:v>3340</c:v>
                </c:pt>
                <c:pt idx="24">
                  <c:v>3340</c:v>
                </c:pt>
                <c:pt idx="25">
                  <c:v>3340</c:v>
                </c:pt>
                <c:pt idx="26">
                  <c:v>3340</c:v>
                </c:pt>
                <c:pt idx="27">
                  <c:v>3340</c:v>
                </c:pt>
                <c:pt idx="28">
                  <c:v>3340</c:v>
                </c:pt>
                <c:pt idx="29">
                  <c:v>3340</c:v>
                </c:pt>
                <c:pt idx="30">
                  <c:v>3340</c:v>
                </c:pt>
                <c:pt idx="31">
                  <c:v>3340</c:v>
                </c:pt>
              </c:numCache>
            </c:numRef>
          </c:xVal>
          <c:yVal>
            <c:numRef>
              <c:f>'driving mode datasheet'!$R$100:$R$131</c:f>
              <c:numCache>
                <c:formatCode>0.0</c:formatCode>
                <c:ptCount val="32"/>
                <c:pt idx="0">
                  <c:v>6200</c:v>
                </c:pt>
                <c:pt idx="1">
                  <c:v>6200</c:v>
                </c:pt>
                <c:pt idx="2">
                  <c:v>6200</c:v>
                </c:pt>
                <c:pt idx="3">
                  <c:v>5861.1361912371995</c:v>
                </c:pt>
                <c:pt idx="4">
                  <c:v>5557.3942887405447</c:v>
                </c:pt>
                <c:pt idx="5">
                  <c:v>5283.582951594748</c:v>
                </c:pt>
                <c:pt idx="6">
                  <c:v>5035.485901736899</c:v>
                </c:pt>
                <c:pt idx="7">
                  <c:v>4809.6432650526267</c:v>
                </c:pt>
                <c:pt idx="8">
                  <c:v>4603.1892281001665</c:v>
                </c:pt>
                <c:pt idx="9">
                  <c:v>4413.729785473829</c:v>
                </c:pt>
                <c:pt idx="10">
                  <c:v>4239.2494839723267</c:v>
                </c:pt>
                <c:pt idx="11">
                  <c:v>4078.0394447452027</c:v>
                </c:pt>
                <c:pt idx="12">
                  <c:v>3928.6412068131917</c:v>
                </c:pt>
                <c:pt idx="13">
                  <c:v>3928.6412068131917</c:v>
                </c:pt>
                <c:pt idx="14">
                  <c:v>3285.0977557107067</c:v>
                </c:pt>
                <c:pt idx="15">
                  <c:v>2746.9719672694659</c:v>
                </c:pt>
                <c:pt idx="16">
                  <c:v>2296.9955691110899</c:v>
                </c:pt>
                <c:pt idx="17">
                  <c:v>1920.7289726223876</c:v>
                </c:pt>
                <c:pt idx="18">
                  <c:v>1606.0979114986835</c:v>
                </c:pt>
                <c:pt idx="19">
                  <c:v>1343.0059826705019</c:v>
                </c:pt>
                <c:pt idx="20">
                  <c:v>1123.0106561845432</c:v>
                </c:pt>
                <c:pt idx="21">
                  <c:v>939.05235730692482</c:v>
                </c:pt>
                <c:pt idx="22">
                  <c:v>785.22792718610162</c:v>
                </c:pt>
                <c:pt idx="23">
                  <c:v>689.48900582053716</c:v>
                </c:pt>
                <c:pt idx="24">
                  <c:v>689.48900582053716</c:v>
                </c:pt>
                <c:pt idx="25">
                  <c:v>689.48900582053716</c:v>
                </c:pt>
                <c:pt idx="26">
                  <c:v>689.48900582053716</c:v>
                </c:pt>
                <c:pt idx="27">
                  <c:v>689.48900582053716</c:v>
                </c:pt>
                <c:pt idx="28">
                  <c:v>689.48900582053716</c:v>
                </c:pt>
                <c:pt idx="29">
                  <c:v>689.48900582053716</c:v>
                </c:pt>
                <c:pt idx="30">
                  <c:v>689.48900582053716</c:v>
                </c:pt>
                <c:pt idx="31">
                  <c:v>689.48900582053716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3F7-452B-9680-FEDA1AB08995}"/>
            </c:ext>
          </c:extLst>
        </c:ser>
        <c:ser>
          <c:idx val="2"/>
          <c:order val="3"/>
          <c:tx>
            <c:strRef>
              <c:f>'driving mode datasheet'!$B$91</c:f>
              <c:strCache>
                <c:ptCount val="1"/>
                <c:pt idx="0">
                  <c:v>Nm 1</c:v>
                </c:pt>
              </c:strCache>
            </c:strRef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'driving mode datasheet'!$A$92:$A$111</c:f>
              <c:numCache>
                <c:formatCode>0</c:formatCode>
                <c:ptCount val="20"/>
              </c:numCache>
            </c:numRef>
          </c:xVal>
          <c:yVal>
            <c:numRef>
              <c:f>'driving mode datasheet'!$B$92:$B$111</c:f>
              <c:numCache>
                <c:formatCode>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13F7-452B-9680-FEDA1AB08995}"/>
            </c:ext>
          </c:extLst>
        </c:ser>
        <c:ser>
          <c:idx val="3"/>
          <c:order val="4"/>
          <c:tx>
            <c:strRef>
              <c:f>'driving mode datasheet'!$C$91</c:f>
              <c:strCache>
                <c:ptCount val="1"/>
                <c:pt idx="0">
                  <c:v>Nm 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datasheet'!$A$92:$A$111</c:f>
              <c:numCache>
                <c:formatCode>0</c:formatCode>
                <c:ptCount val="20"/>
              </c:numCache>
            </c:numRef>
          </c:xVal>
          <c:yVal>
            <c:numRef>
              <c:f>'driving mode datasheet'!$C$92:$C$111</c:f>
              <c:numCache>
                <c:formatCode>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13F7-452B-9680-FEDA1AB089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176064"/>
        <c:axId val="125215104"/>
      </c:scatterChart>
      <c:valAx>
        <c:axId val="125176064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rpm</a:t>
                </a:r>
              </a:p>
            </c:rich>
          </c:tx>
          <c:layout>
            <c:manualLayout>
              <c:xMode val="edge"/>
              <c:yMode val="edge"/>
              <c:x val="0.51254803893314993"/>
              <c:y val="0.9181084182658988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n-US"/>
          </a:p>
        </c:txPr>
        <c:crossAx val="125215104"/>
        <c:crosses val="autoZero"/>
        <c:crossBetween val="midCat"/>
      </c:valAx>
      <c:valAx>
        <c:axId val="125215104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Nm</a:t>
                </a:r>
              </a:p>
            </c:rich>
          </c:tx>
          <c:layout>
            <c:manualLayout>
              <c:xMode val="edge"/>
              <c:yMode val="edge"/>
              <c:x val="2.0124749112243337E-2"/>
              <c:y val="0.4223043846600818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n-US"/>
          </a:p>
        </c:txPr>
        <c:crossAx val="125176064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091672070402967"/>
          <c:y val="0.10766861950679985"/>
          <c:w val="0.86000370541917581"/>
          <c:h val="7.426522128794810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 panose="020B0606020202030204" pitchFamily="34" charset="0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" footer="0"/>
    <c:pageSetup paperSize="9" orientation="landscape" horizontalDpi="1200" verticalDpi="12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Curva de Potencia / Power Diagram</a:t>
            </a:r>
          </a:p>
        </c:rich>
      </c:tx>
      <c:layout>
        <c:manualLayout>
          <c:xMode val="edge"/>
          <c:yMode val="edge"/>
          <c:x val="0.35427833873706976"/>
          <c:y val="3.03687039120109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19085996603371"/>
          <c:y val="0.18568292146276591"/>
          <c:w val="0.86151563995676972"/>
          <c:h val="0.67023076453225727"/>
        </c:manualLayout>
      </c:layout>
      <c:scatterChart>
        <c:scatterStyle val="smoothMarker"/>
        <c:varyColors val="0"/>
        <c:ser>
          <c:idx val="4"/>
          <c:order val="0"/>
          <c:tx>
            <c:strRef>
              <c:f>'absorbing mode datasheet'!$W$99</c:f>
              <c:strCache>
                <c:ptCount val="1"/>
                <c:pt idx="0">
                  <c:v>KW limit</c:v>
                </c:pt>
              </c:strCache>
            </c:strRef>
          </c:tx>
          <c:spPr>
            <a:ln>
              <a:solidFill>
                <a:schemeClr val="bg1">
                  <a:lumMod val="6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'absorbing mode datasheet'!$V$100:$V$131</c:f>
              <c:numCache>
                <c:formatCode>0</c:formatCode>
                <c:ptCount val="32"/>
                <c:pt idx="0">
                  <c:v>10</c:v>
                </c:pt>
                <c:pt idx="1">
                  <c:v>667.44967099168366</c:v>
                </c:pt>
                <c:pt idx="2">
                  <c:v>667.44967099168366</c:v>
                </c:pt>
                <c:pt idx="3">
                  <c:v>734.1946380908521</c:v>
                </c:pt>
                <c:pt idx="4">
                  <c:v>807.6141018999374</c:v>
                </c:pt>
                <c:pt idx="5">
                  <c:v>888.37551208993125</c:v>
                </c:pt>
                <c:pt idx="6">
                  <c:v>977.21306329892445</c:v>
                </c:pt>
                <c:pt idx="7">
                  <c:v>1074.934369628817</c:v>
                </c:pt>
                <c:pt idx="8">
                  <c:v>1182.4278065916988</c:v>
                </c:pt>
                <c:pt idx="9">
                  <c:v>1300.6705872508687</c:v>
                </c:pt>
                <c:pt idx="10">
                  <c:v>1430.7376459759557</c:v>
                </c:pt>
                <c:pt idx="11">
                  <c:v>1573.8114105735515</c:v>
                </c:pt>
                <c:pt idx="12">
                  <c:v>1731.1925516309068</c:v>
                </c:pt>
                <c:pt idx="13">
                  <c:v>1904.3118067939977</c:v>
                </c:pt>
                <c:pt idx="14">
                  <c:v>2094.7429874733975</c:v>
                </c:pt>
                <c:pt idx="15">
                  <c:v>2304.2172862207376</c:v>
                </c:pt>
                <c:pt idx="16">
                  <c:v>2534.6390148428118</c:v>
                </c:pt>
                <c:pt idx="17">
                  <c:v>2788.1029163270932</c:v>
                </c:pt>
                <c:pt idx="18">
                  <c:v>3066.913207959803</c:v>
                </c:pt>
                <c:pt idx="19">
                  <c:v>3310</c:v>
                </c:pt>
                <c:pt idx="20">
                  <c:v>3310</c:v>
                </c:pt>
                <c:pt idx="21">
                  <c:v>3310</c:v>
                </c:pt>
                <c:pt idx="22">
                  <c:v>3310</c:v>
                </c:pt>
                <c:pt idx="23">
                  <c:v>3310</c:v>
                </c:pt>
                <c:pt idx="24">
                  <c:v>3310</c:v>
                </c:pt>
                <c:pt idx="25">
                  <c:v>3310</c:v>
                </c:pt>
                <c:pt idx="26">
                  <c:v>3310</c:v>
                </c:pt>
                <c:pt idx="27">
                  <c:v>3310</c:v>
                </c:pt>
                <c:pt idx="28">
                  <c:v>3310</c:v>
                </c:pt>
                <c:pt idx="29">
                  <c:v>3310</c:v>
                </c:pt>
                <c:pt idx="30">
                  <c:v>3310</c:v>
                </c:pt>
                <c:pt idx="31">
                  <c:v>3310</c:v>
                </c:pt>
              </c:numCache>
            </c:numRef>
          </c:xVal>
          <c:yVal>
            <c:numRef>
              <c:f>'absorbing mode datasheet'!$W$100:$W$131</c:f>
              <c:numCache>
                <c:formatCode>0</c:formatCode>
                <c:ptCount val="32"/>
                <c:pt idx="0">
                  <c:v>0.22229423187786393</c:v>
                </c:pt>
                <c:pt idx="1">
                  <c:v>14.837021193022933</c:v>
                </c:pt>
                <c:pt idx="2">
                  <c:v>14.837021193022933</c:v>
                </c:pt>
                <c:pt idx="3">
                  <c:v>13.647255807405788</c:v>
                </c:pt>
                <c:pt idx="4">
                  <c:v>12.552896477653706</c:v>
                </c:pt>
                <c:pt idx="5">
                  <c:v>11.546292690811979</c:v>
                </c:pt>
                <c:pt idx="6">
                  <c:v>10.620407420647894</c:v>
                </c:pt>
                <c:pt idx="7">
                  <c:v>9.7687679327849057</c:v>
                </c:pt>
                <c:pt idx="8">
                  <c:v>8.9854205347223015</c:v>
                </c:pt>
                <c:pt idx="9">
                  <c:v>8.2648889544039204</c:v>
                </c:pt>
                <c:pt idx="10">
                  <c:v>7.6021360563664535</c:v>
                </c:pt>
                <c:pt idx="11">
                  <c:v>6.9925286278301808</c:v>
                </c:pt>
                <c:pt idx="12">
                  <c:v>6.4318049885567197</c:v>
                </c:pt>
                <c:pt idx="13">
                  <c:v>5.9160451980387307</c:v>
                </c:pt>
                <c:pt idx="14">
                  <c:v>5.4416436517443207</c:v>
                </c:pt>
                <c:pt idx="15">
                  <c:v>5.0052838748402344</c:v>
                </c:pt>
                <c:pt idx="16">
                  <c:v>4.6039153371803323</c:v>
                </c:pt>
                <c:pt idx="17">
                  <c:v>4.2347321274761587</c:v>
                </c:pt>
                <c:pt idx="18">
                  <c:v>3.8951533375637153</c:v>
                </c:pt>
                <c:pt idx="19">
                  <c:v>3.6431127423701404</c:v>
                </c:pt>
                <c:pt idx="20">
                  <c:v>3.6431127423701404</c:v>
                </c:pt>
                <c:pt idx="21">
                  <c:v>3.6431127423701404</c:v>
                </c:pt>
                <c:pt idx="22">
                  <c:v>3.6431127423701404</c:v>
                </c:pt>
                <c:pt idx="23">
                  <c:v>3.6431127423701404</c:v>
                </c:pt>
                <c:pt idx="24">
                  <c:v>3.6431127423701404</c:v>
                </c:pt>
                <c:pt idx="25">
                  <c:v>3.6431127423701404</c:v>
                </c:pt>
                <c:pt idx="26">
                  <c:v>3.6431127423701404</c:v>
                </c:pt>
                <c:pt idx="27">
                  <c:v>3.6431127423701404</c:v>
                </c:pt>
                <c:pt idx="28">
                  <c:v>3.6431127423701404</c:v>
                </c:pt>
                <c:pt idx="29">
                  <c:v>3.6431127423701404</c:v>
                </c:pt>
                <c:pt idx="30">
                  <c:v>3.6431127423701404</c:v>
                </c:pt>
                <c:pt idx="31">
                  <c:v>3.6431127423701404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43C-4841-96AF-F9E1885E0019}"/>
            </c:ext>
          </c:extLst>
        </c:ser>
        <c:ser>
          <c:idx val="1"/>
          <c:order val="1"/>
          <c:tx>
            <c:strRef>
              <c:f>'absorbing mode datasheet'!$T$99</c:f>
              <c:strCache>
                <c:ptCount val="1"/>
                <c:pt idx="0">
                  <c:v>kW S6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datasheet'!$S$100:$S$131</c:f>
              <c:numCache>
                <c:formatCode>0</c:formatCode>
                <c:ptCount val="32"/>
                <c:pt idx="0">
                  <c:v>10</c:v>
                </c:pt>
                <c:pt idx="1">
                  <c:v>804.84268339304151</c:v>
                </c:pt>
                <c:pt idx="2">
                  <c:v>804.84268339304151</c:v>
                </c:pt>
                <c:pt idx="3">
                  <c:v>804.84268339304151</c:v>
                </c:pt>
                <c:pt idx="4">
                  <c:v>804.84268339304151</c:v>
                </c:pt>
                <c:pt idx="5">
                  <c:v>804.84268339304151</c:v>
                </c:pt>
                <c:pt idx="6">
                  <c:v>804.84268339304151</c:v>
                </c:pt>
                <c:pt idx="7">
                  <c:v>804.84268339304151</c:v>
                </c:pt>
                <c:pt idx="8">
                  <c:v>804.84268339304151</c:v>
                </c:pt>
                <c:pt idx="9">
                  <c:v>804.84268339304151</c:v>
                </c:pt>
                <c:pt idx="10">
                  <c:v>804.84268339304151</c:v>
                </c:pt>
                <c:pt idx="11">
                  <c:v>804.84268339304151</c:v>
                </c:pt>
                <c:pt idx="12">
                  <c:v>804.84268339304151</c:v>
                </c:pt>
                <c:pt idx="13">
                  <c:v>804.84268339304151</c:v>
                </c:pt>
                <c:pt idx="14">
                  <c:v>885.32695173234572</c:v>
                </c:pt>
                <c:pt idx="15">
                  <c:v>973.85964690558035</c:v>
                </c:pt>
                <c:pt idx="16">
                  <c:v>1071.2456115961384</c:v>
                </c:pt>
                <c:pt idx="17">
                  <c:v>1178.3701727557523</c:v>
                </c:pt>
                <c:pt idx="18">
                  <c:v>1296.2071900313276</c:v>
                </c:pt>
                <c:pt idx="19">
                  <c:v>1425.8279090344606</c:v>
                </c:pt>
                <c:pt idx="20">
                  <c:v>1568.4106999379069</c:v>
                </c:pt>
                <c:pt idx="21">
                  <c:v>1725.2517699316977</c:v>
                </c:pt>
                <c:pt idx="22">
                  <c:v>1897.7769469248676</c:v>
                </c:pt>
                <c:pt idx="23">
                  <c:v>2087.5546416173547</c:v>
                </c:pt>
                <c:pt idx="24">
                  <c:v>2296.3101057790905</c:v>
                </c:pt>
                <c:pt idx="25">
                  <c:v>2525.9411163569998</c:v>
                </c:pt>
                <c:pt idx="26">
                  <c:v>2778.5352279927001</c:v>
                </c:pt>
                <c:pt idx="27">
                  <c:v>3056.3887507919703</c:v>
                </c:pt>
                <c:pt idx="28">
                  <c:v>3310</c:v>
                </c:pt>
                <c:pt idx="29">
                  <c:v>3310</c:v>
                </c:pt>
                <c:pt idx="30">
                  <c:v>3310</c:v>
                </c:pt>
                <c:pt idx="31">
                  <c:v>3310</c:v>
                </c:pt>
              </c:numCache>
            </c:numRef>
          </c:xVal>
          <c:yVal>
            <c:numRef>
              <c:f>'absorbing mode datasheet'!$T$100:$T$131</c:f>
              <c:numCache>
                <c:formatCode>0.0</c:formatCode>
                <c:ptCount val="32"/>
                <c:pt idx="0">
                  <c:v>9.6678886215875561</c:v>
                </c:pt>
                <c:pt idx="1">
                  <c:v>778.11294209435835</c:v>
                </c:pt>
                <c:pt idx="2">
                  <c:v>778.11294209435835</c:v>
                </c:pt>
                <c:pt idx="3">
                  <c:v>778.11294209435835</c:v>
                </c:pt>
                <c:pt idx="4">
                  <c:v>778.11294209435835</c:v>
                </c:pt>
                <c:pt idx="5">
                  <c:v>778.11294209435835</c:v>
                </c:pt>
                <c:pt idx="6">
                  <c:v>778.11294209435835</c:v>
                </c:pt>
                <c:pt idx="7">
                  <c:v>778.11294209435835</c:v>
                </c:pt>
                <c:pt idx="8">
                  <c:v>778.11294209435835</c:v>
                </c:pt>
                <c:pt idx="9">
                  <c:v>778.11294209435835</c:v>
                </c:pt>
                <c:pt idx="10">
                  <c:v>778.11294209435835</c:v>
                </c:pt>
                <c:pt idx="11">
                  <c:v>778.11294209435835</c:v>
                </c:pt>
                <c:pt idx="12">
                  <c:v>778.11294209435835</c:v>
                </c:pt>
                <c:pt idx="13">
                  <c:v>778.11294209435835</c:v>
                </c:pt>
                <c:pt idx="14">
                  <c:v>715.71686996096207</c:v>
                </c:pt>
                <c:pt idx="15">
                  <c:v>658.32427432443149</c:v>
                </c:pt>
                <c:pt idx="16">
                  <c:v>605.53393157887706</c:v>
                </c:pt>
                <c:pt idx="17">
                  <c:v>556.97679182443665</c:v>
                </c:pt>
                <c:pt idx="18">
                  <c:v>512.31339889106107</c:v>
                </c:pt>
                <c:pt idx="19">
                  <c:v>471.23151724792615</c:v>
                </c:pt>
                <c:pt idx="20">
                  <c:v>433.44394920852216</c:v>
                </c:pt>
                <c:pt idx="21">
                  <c:v>398.686527171813</c:v>
                </c:pt>
                <c:pt idx="22">
                  <c:v>366.71626686349776</c:v>
                </c:pt>
                <c:pt idx="23">
                  <c:v>337.30966866694729</c:v>
                </c:pt>
                <c:pt idx="24">
                  <c:v>310.26115516865548</c:v>
                </c:pt>
                <c:pt idx="25">
                  <c:v>285.38163399530538</c:v>
                </c:pt>
                <c:pt idx="26">
                  <c:v>262.4971758954448</c:v>
                </c:pt>
                <c:pt idx="27">
                  <c:v>241.44779882442475</c:v>
                </c:pt>
                <c:pt idx="28">
                  <c:v>225.14485950300184</c:v>
                </c:pt>
                <c:pt idx="29">
                  <c:v>225.14485950300184</c:v>
                </c:pt>
                <c:pt idx="30">
                  <c:v>225.14485950300184</c:v>
                </c:pt>
                <c:pt idx="31">
                  <c:v>225.14485950300184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43C-4841-96AF-F9E1885E0019}"/>
            </c:ext>
          </c:extLst>
        </c:ser>
        <c:ser>
          <c:idx val="0"/>
          <c:order val="2"/>
          <c:tx>
            <c:strRef>
              <c:f>'absorbing mode datasheet'!$Q$99</c:f>
              <c:strCache>
                <c:ptCount val="1"/>
                <c:pt idx="0">
                  <c:v>kW S1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datasheet'!$P$100:$P$131</c:f>
              <c:numCache>
                <c:formatCode>0</c:formatCode>
                <c:ptCount val="32"/>
                <c:pt idx="0">
                  <c:v>10</c:v>
                </c:pt>
                <c:pt idx="1">
                  <c:v>828.09000000000015</c:v>
                </c:pt>
                <c:pt idx="2">
                  <c:v>828.09000000000015</c:v>
                </c:pt>
                <c:pt idx="3">
                  <c:v>867.96059564244672</c:v>
                </c:pt>
                <c:pt idx="4">
                  <c:v>907.83119128489329</c:v>
                </c:pt>
                <c:pt idx="5">
                  <c:v>947.70178692733987</c:v>
                </c:pt>
                <c:pt idx="6">
                  <c:v>987.57238256978644</c:v>
                </c:pt>
                <c:pt idx="7">
                  <c:v>1027.4429782122329</c:v>
                </c:pt>
                <c:pt idx="8">
                  <c:v>1067.3135738546794</c:v>
                </c:pt>
                <c:pt idx="9">
                  <c:v>1107.1841694971258</c:v>
                </c:pt>
                <c:pt idx="10">
                  <c:v>1147.0547651395723</c:v>
                </c:pt>
                <c:pt idx="11">
                  <c:v>1186.9253607820187</c:v>
                </c:pt>
                <c:pt idx="12">
                  <c:v>1226.7959564244654</c:v>
                </c:pt>
                <c:pt idx="13">
                  <c:v>1226.7959564244654</c:v>
                </c:pt>
                <c:pt idx="14">
                  <c:v>1349.4755520669121</c:v>
                </c:pt>
                <c:pt idx="15">
                  <c:v>1484.4231072736034</c:v>
                </c:pt>
                <c:pt idx="16">
                  <c:v>1632.8654180009639</c:v>
                </c:pt>
                <c:pt idx="17">
                  <c:v>1796.1519598010605</c:v>
                </c:pt>
                <c:pt idx="18">
                  <c:v>1975.7671557811666</c:v>
                </c:pt>
                <c:pt idx="19">
                  <c:v>2173.3438713592836</c:v>
                </c:pt>
                <c:pt idx="20">
                  <c:v>2390.678258495212</c:v>
                </c:pt>
                <c:pt idx="21">
                  <c:v>2629.7460843447334</c:v>
                </c:pt>
                <c:pt idx="22">
                  <c:v>2892.7206927792072</c:v>
                </c:pt>
                <c:pt idx="23">
                  <c:v>3181.9927620571279</c:v>
                </c:pt>
                <c:pt idx="24">
                  <c:v>3310</c:v>
                </c:pt>
                <c:pt idx="25">
                  <c:v>3310</c:v>
                </c:pt>
                <c:pt idx="26">
                  <c:v>3310</c:v>
                </c:pt>
                <c:pt idx="27">
                  <c:v>3310</c:v>
                </c:pt>
                <c:pt idx="28">
                  <c:v>3310</c:v>
                </c:pt>
                <c:pt idx="29">
                  <c:v>3310</c:v>
                </c:pt>
                <c:pt idx="30">
                  <c:v>3310</c:v>
                </c:pt>
                <c:pt idx="31">
                  <c:v>3310</c:v>
                </c:pt>
              </c:numCache>
            </c:numRef>
          </c:xVal>
          <c:yVal>
            <c:numRef>
              <c:f>'absorbing mode datasheet'!$Q$100:$Q$131</c:f>
              <c:numCache>
                <c:formatCode>0.0</c:formatCode>
                <c:ptCount val="32"/>
                <c:pt idx="0">
                  <c:v>0.20006480869007753</c:v>
                </c:pt>
                <c:pt idx="1">
                  <c:v>537.64776850564226</c:v>
                </c:pt>
                <c:pt idx="2">
                  <c:v>537.64776850564226</c:v>
                </c:pt>
                <c:pt idx="3">
                  <c:v>537.64776850564226</c:v>
                </c:pt>
                <c:pt idx="4">
                  <c:v>537.64776850564226</c:v>
                </c:pt>
                <c:pt idx="5">
                  <c:v>537.64776850564226</c:v>
                </c:pt>
                <c:pt idx="6">
                  <c:v>537.64776850564226</c:v>
                </c:pt>
                <c:pt idx="7">
                  <c:v>537.64776850564226</c:v>
                </c:pt>
                <c:pt idx="8">
                  <c:v>537.64776850564226</c:v>
                </c:pt>
                <c:pt idx="9">
                  <c:v>537.64776850564226</c:v>
                </c:pt>
                <c:pt idx="10">
                  <c:v>537.64776850564226</c:v>
                </c:pt>
                <c:pt idx="11">
                  <c:v>537.64776850564226</c:v>
                </c:pt>
                <c:pt idx="12">
                  <c:v>537.64776850564226</c:v>
                </c:pt>
                <c:pt idx="13">
                  <c:v>537.64776850564226</c:v>
                </c:pt>
                <c:pt idx="14">
                  <c:v>494.53434996290144</c:v>
                </c:pt>
                <c:pt idx="15">
                  <c:v>454.87815186693734</c:v>
                </c:pt>
                <c:pt idx="16">
                  <c:v>418.40194328544123</c:v>
                </c:pt>
                <c:pt idx="17">
                  <c:v>384.85072414786555</c:v>
                </c:pt>
                <c:pt idx="18">
                  <c:v>353.98994257560895</c:v>
                </c:pt>
                <c:pt idx="19">
                  <c:v>325.60385516265086</c:v>
                </c:pt>
                <c:pt idx="20">
                  <c:v>299.49401874358642</c:v>
                </c:pt>
                <c:pt idx="21">
                  <c:v>275.47790310522271</c:v>
                </c:pt>
                <c:pt idx="22">
                  <c:v>253.38761494339724</c:v>
                </c:pt>
                <c:pt idx="23">
                  <c:v>233.06872414437979</c:v>
                </c:pt>
                <c:pt idx="24">
                  <c:v>225.14485950300184</c:v>
                </c:pt>
                <c:pt idx="25">
                  <c:v>225.14485950300184</c:v>
                </c:pt>
                <c:pt idx="26">
                  <c:v>225.14485950300184</c:v>
                </c:pt>
                <c:pt idx="27">
                  <c:v>225.14485950300184</c:v>
                </c:pt>
                <c:pt idx="28">
                  <c:v>225.14485950300184</c:v>
                </c:pt>
                <c:pt idx="29">
                  <c:v>225.14485950300184</c:v>
                </c:pt>
                <c:pt idx="30">
                  <c:v>225.14485950300184</c:v>
                </c:pt>
                <c:pt idx="31">
                  <c:v>225.14485950300184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243C-4841-96AF-F9E1885E0019}"/>
            </c:ext>
          </c:extLst>
        </c:ser>
        <c:ser>
          <c:idx val="2"/>
          <c:order val="3"/>
          <c:tx>
            <c:strRef>
              <c:f>'absorbing mode datasheet'!$B$115</c:f>
              <c:strCache>
                <c:ptCount val="1"/>
                <c:pt idx="0">
                  <c:v>KW 1</c:v>
                </c:pt>
              </c:strCache>
            </c:strRef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datasheet'!$A$116:$A$135</c:f>
              <c:numCache>
                <c:formatCode>0</c:formatCode>
                <c:ptCount val="20"/>
              </c:numCache>
            </c:numRef>
          </c:xVal>
          <c:yVal>
            <c:numRef>
              <c:f>'absorbing mode datasheet'!$B$116:$B$135</c:f>
              <c:numCache>
                <c:formatCode>0.0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243C-4841-96AF-F9E1885E0019}"/>
            </c:ext>
          </c:extLst>
        </c:ser>
        <c:ser>
          <c:idx val="3"/>
          <c:order val="4"/>
          <c:tx>
            <c:strRef>
              <c:f>'absorbing mode datasheet'!$C$115</c:f>
              <c:strCache>
                <c:ptCount val="1"/>
                <c:pt idx="0">
                  <c:v>KW 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datasheet'!$A$116:$A$135</c:f>
              <c:numCache>
                <c:formatCode>0</c:formatCode>
                <c:ptCount val="20"/>
              </c:numCache>
            </c:numRef>
          </c:xVal>
          <c:yVal>
            <c:numRef>
              <c:f>'absorbing mode datasheet'!$C$116:$C$135</c:f>
              <c:numCache>
                <c:formatCode>0.0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243C-4841-96AF-F9E1885E0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042880"/>
        <c:axId val="128053248"/>
      </c:scatterChart>
      <c:valAx>
        <c:axId val="128042880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rpm</a:t>
                </a:r>
              </a:p>
            </c:rich>
          </c:tx>
          <c:layout>
            <c:manualLayout>
              <c:xMode val="edge"/>
              <c:yMode val="edge"/>
              <c:x val="0.51254803893314993"/>
              <c:y val="0.9181084182658988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n-US"/>
          </a:p>
        </c:txPr>
        <c:crossAx val="128053248"/>
        <c:crosses val="autoZero"/>
        <c:crossBetween val="midCat"/>
      </c:valAx>
      <c:valAx>
        <c:axId val="12805324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Nm</a:t>
                </a:r>
              </a:p>
            </c:rich>
          </c:tx>
          <c:layout>
            <c:manualLayout>
              <c:xMode val="edge"/>
              <c:yMode val="edge"/>
              <c:x val="2.0124749112243337E-2"/>
              <c:y val="0.4223043846600818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n-US"/>
          </a:p>
        </c:txPr>
        <c:crossAx val="128042880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091672070402967"/>
          <c:y val="0.10766861950679985"/>
          <c:w val="0.86000370541917581"/>
          <c:h val="7.426522128794810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 panose="020B0606020202030204" pitchFamily="34" charset="0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" footer="0"/>
    <c:pageSetup paperSize="9" orientation="landscape" horizontalDpi="1200" verticalDpi="12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Curva de Par / Torque Diagram</a:t>
            </a:r>
          </a:p>
        </c:rich>
      </c:tx>
      <c:layout>
        <c:manualLayout>
          <c:xMode val="edge"/>
          <c:yMode val="edge"/>
          <c:x val="0.35427833873706976"/>
          <c:y val="3.03687039120109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19085996603371"/>
          <c:y val="0.18568292146276591"/>
          <c:w val="0.86151563995676972"/>
          <c:h val="0.67023076453225727"/>
        </c:manualLayout>
      </c:layout>
      <c:scatterChart>
        <c:scatterStyle val="smoothMarker"/>
        <c:varyColors val="0"/>
        <c:ser>
          <c:idx val="4"/>
          <c:order val="0"/>
          <c:tx>
            <c:strRef>
              <c:f>'absorbing mode datasheet'!$X$99</c:f>
              <c:strCache>
                <c:ptCount val="1"/>
                <c:pt idx="0">
                  <c:v>Nm Limit</c:v>
                </c:pt>
              </c:strCache>
            </c:strRef>
          </c:tx>
          <c:spPr>
            <a:ln>
              <a:solidFill>
                <a:schemeClr val="bg1">
                  <a:lumMod val="6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'absorbing mode datasheet'!$V$100:$V$130</c:f>
              <c:numCache>
                <c:formatCode>0</c:formatCode>
                <c:ptCount val="31"/>
                <c:pt idx="0">
                  <c:v>10</c:v>
                </c:pt>
                <c:pt idx="1">
                  <c:v>667.44967099168366</c:v>
                </c:pt>
                <c:pt idx="2">
                  <c:v>667.44967099168366</c:v>
                </c:pt>
                <c:pt idx="3">
                  <c:v>734.1946380908521</c:v>
                </c:pt>
                <c:pt idx="4">
                  <c:v>807.6141018999374</c:v>
                </c:pt>
                <c:pt idx="5">
                  <c:v>888.37551208993125</c:v>
                </c:pt>
                <c:pt idx="6">
                  <c:v>977.21306329892445</c:v>
                </c:pt>
                <c:pt idx="7">
                  <c:v>1074.934369628817</c:v>
                </c:pt>
                <c:pt idx="8">
                  <c:v>1182.4278065916988</c:v>
                </c:pt>
                <c:pt idx="9">
                  <c:v>1300.6705872508687</c:v>
                </c:pt>
                <c:pt idx="10">
                  <c:v>1430.7376459759557</c:v>
                </c:pt>
                <c:pt idx="11">
                  <c:v>1573.8114105735515</c:v>
                </c:pt>
                <c:pt idx="12">
                  <c:v>1731.1925516309068</c:v>
                </c:pt>
                <c:pt idx="13">
                  <c:v>1904.3118067939977</c:v>
                </c:pt>
                <c:pt idx="14">
                  <c:v>2094.7429874733975</c:v>
                </c:pt>
                <c:pt idx="15">
                  <c:v>2304.2172862207376</c:v>
                </c:pt>
                <c:pt idx="16">
                  <c:v>2534.6390148428118</c:v>
                </c:pt>
                <c:pt idx="17">
                  <c:v>2788.1029163270932</c:v>
                </c:pt>
                <c:pt idx="18">
                  <c:v>3066.913207959803</c:v>
                </c:pt>
                <c:pt idx="19">
                  <c:v>3310</c:v>
                </c:pt>
                <c:pt idx="20">
                  <c:v>3310</c:v>
                </c:pt>
                <c:pt idx="21">
                  <c:v>3310</c:v>
                </c:pt>
                <c:pt idx="22">
                  <c:v>3310</c:v>
                </c:pt>
                <c:pt idx="23">
                  <c:v>3310</c:v>
                </c:pt>
                <c:pt idx="24">
                  <c:v>3310</c:v>
                </c:pt>
                <c:pt idx="25">
                  <c:v>3310</c:v>
                </c:pt>
                <c:pt idx="26">
                  <c:v>3310</c:v>
                </c:pt>
                <c:pt idx="27">
                  <c:v>3310</c:v>
                </c:pt>
                <c:pt idx="28">
                  <c:v>3310</c:v>
                </c:pt>
                <c:pt idx="29">
                  <c:v>3310</c:v>
                </c:pt>
                <c:pt idx="30">
                  <c:v>3310</c:v>
                </c:pt>
              </c:numCache>
            </c:numRef>
          </c:xVal>
          <c:yVal>
            <c:numRef>
              <c:f>'absorbing mode datasheet'!$X$100:$X$130</c:f>
              <c:numCache>
                <c:formatCode>0.0</c:formatCode>
                <c:ptCount val="31"/>
                <c:pt idx="0">
                  <c:v>212.27535494506813</c:v>
                </c:pt>
                <c:pt idx="1">
                  <c:v>212.27535494506813</c:v>
                </c:pt>
                <c:pt idx="2">
                  <c:v>212.27535494506813</c:v>
                </c:pt>
                <c:pt idx="3">
                  <c:v>177.50292159878981</c:v>
                </c:pt>
                <c:pt idx="4">
                  <c:v>148.42649625652237</c:v>
                </c:pt>
                <c:pt idx="5">
                  <c:v>124.11302638039311</c:v>
                </c:pt>
                <c:pt idx="6">
                  <c:v>103.78230104332368</c:v>
                </c:pt>
                <c:pt idx="7">
                  <c:v>86.781914227406091</c:v>
                </c:pt>
                <c:pt idx="8">
                  <c:v>72.566329338073032</c:v>
                </c:pt>
                <c:pt idx="9">
                  <c:v>60.679373121487274</c:v>
                </c:pt>
                <c:pt idx="10">
                  <c:v>50.739597220950529</c:v>
                </c:pt>
                <c:pt idx="11">
                  <c:v>42.428037629687175</c:v>
                </c:pt>
                <c:pt idx="12">
                  <c:v>35.477979245031712</c:v>
                </c:pt>
                <c:pt idx="13">
                  <c:v>29.66639707206701</c:v>
                </c:pt>
                <c:pt idx="14">
                  <c:v>24.80679942786746</c:v>
                </c:pt>
                <c:pt idx="15">
                  <c:v>20.743243487220294</c:v>
                </c:pt>
                <c:pt idx="16">
                  <c:v>17.345331130735744</c:v>
                </c:pt>
                <c:pt idx="17">
                  <c:v>14.504024513824355</c:v>
                </c:pt>
                <c:pt idx="18">
                  <c:v>12.128147079582135</c:v>
                </c:pt>
                <c:pt idx="19">
                  <c:v>10.510321471708975</c:v>
                </c:pt>
                <c:pt idx="20">
                  <c:v>10.510321471708975</c:v>
                </c:pt>
                <c:pt idx="21">
                  <c:v>10.510321471708975</c:v>
                </c:pt>
                <c:pt idx="22">
                  <c:v>10.510321471708975</c:v>
                </c:pt>
                <c:pt idx="23">
                  <c:v>10.510321471708975</c:v>
                </c:pt>
                <c:pt idx="24">
                  <c:v>10.510321471708975</c:v>
                </c:pt>
                <c:pt idx="25">
                  <c:v>10.510321471708975</c:v>
                </c:pt>
                <c:pt idx="26">
                  <c:v>10.510321471708975</c:v>
                </c:pt>
                <c:pt idx="27">
                  <c:v>10.510321471708975</c:v>
                </c:pt>
                <c:pt idx="28">
                  <c:v>10.510321471708975</c:v>
                </c:pt>
                <c:pt idx="29">
                  <c:v>10.510321471708975</c:v>
                </c:pt>
                <c:pt idx="30">
                  <c:v>10.510321471708975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4C6-4A17-AE20-8C821717D04F}"/>
            </c:ext>
          </c:extLst>
        </c:ser>
        <c:ser>
          <c:idx val="1"/>
          <c:order val="1"/>
          <c:tx>
            <c:strRef>
              <c:f>'absorbing mode datasheet'!$U$99</c:f>
              <c:strCache>
                <c:ptCount val="1"/>
                <c:pt idx="0">
                  <c:v>Nm S6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datasheet'!$S$100:$S$130</c:f>
              <c:numCache>
                <c:formatCode>0</c:formatCode>
                <c:ptCount val="31"/>
                <c:pt idx="0">
                  <c:v>10</c:v>
                </c:pt>
                <c:pt idx="1">
                  <c:v>804.84268339304151</c:v>
                </c:pt>
                <c:pt idx="2">
                  <c:v>804.84268339304151</c:v>
                </c:pt>
                <c:pt idx="3">
                  <c:v>804.84268339304151</c:v>
                </c:pt>
                <c:pt idx="4">
                  <c:v>804.84268339304151</c:v>
                </c:pt>
                <c:pt idx="5">
                  <c:v>804.84268339304151</c:v>
                </c:pt>
                <c:pt idx="6">
                  <c:v>804.84268339304151</c:v>
                </c:pt>
                <c:pt idx="7">
                  <c:v>804.84268339304151</c:v>
                </c:pt>
                <c:pt idx="8">
                  <c:v>804.84268339304151</c:v>
                </c:pt>
                <c:pt idx="9">
                  <c:v>804.84268339304151</c:v>
                </c:pt>
                <c:pt idx="10">
                  <c:v>804.84268339304151</c:v>
                </c:pt>
                <c:pt idx="11">
                  <c:v>804.84268339304151</c:v>
                </c:pt>
                <c:pt idx="12">
                  <c:v>804.84268339304151</c:v>
                </c:pt>
                <c:pt idx="13">
                  <c:v>804.84268339304151</c:v>
                </c:pt>
                <c:pt idx="14">
                  <c:v>885.32695173234572</c:v>
                </c:pt>
                <c:pt idx="15">
                  <c:v>973.85964690558035</c:v>
                </c:pt>
                <c:pt idx="16">
                  <c:v>1071.2456115961384</c:v>
                </c:pt>
                <c:pt idx="17">
                  <c:v>1178.3701727557523</c:v>
                </c:pt>
                <c:pt idx="18">
                  <c:v>1296.2071900313276</c:v>
                </c:pt>
                <c:pt idx="19">
                  <c:v>1425.8279090344606</c:v>
                </c:pt>
                <c:pt idx="20">
                  <c:v>1568.4106999379069</c:v>
                </c:pt>
                <c:pt idx="21">
                  <c:v>1725.2517699316977</c:v>
                </c:pt>
                <c:pt idx="22">
                  <c:v>1897.7769469248676</c:v>
                </c:pt>
                <c:pt idx="23">
                  <c:v>2087.5546416173547</c:v>
                </c:pt>
                <c:pt idx="24">
                  <c:v>2296.3101057790905</c:v>
                </c:pt>
                <c:pt idx="25">
                  <c:v>2525.9411163569998</c:v>
                </c:pt>
                <c:pt idx="26">
                  <c:v>2778.5352279927001</c:v>
                </c:pt>
                <c:pt idx="27">
                  <c:v>3056.3887507919703</c:v>
                </c:pt>
                <c:pt idx="28">
                  <c:v>3310</c:v>
                </c:pt>
                <c:pt idx="29">
                  <c:v>3310</c:v>
                </c:pt>
                <c:pt idx="30">
                  <c:v>3310</c:v>
                </c:pt>
              </c:numCache>
            </c:numRef>
          </c:xVal>
          <c:yVal>
            <c:numRef>
              <c:f>'absorbing mode datasheet'!$U$100:$U$130</c:f>
              <c:numCache>
                <c:formatCode>0.0</c:formatCode>
                <c:ptCount val="31"/>
                <c:pt idx="0">
                  <c:v>9232.1535803253009</c:v>
                </c:pt>
                <c:pt idx="1">
                  <c:v>9232.1535803253009</c:v>
                </c:pt>
                <c:pt idx="2">
                  <c:v>9232.1535803253009</c:v>
                </c:pt>
                <c:pt idx="3">
                  <c:v>9232.1535803253009</c:v>
                </c:pt>
                <c:pt idx="4">
                  <c:v>9232.1535803253009</c:v>
                </c:pt>
                <c:pt idx="5">
                  <c:v>9232.1535803253009</c:v>
                </c:pt>
                <c:pt idx="6">
                  <c:v>9232.1535803253009</c:v>
                </c:pt>
                <c:pt idx="7">
                  <c:v>9232.1535803253009</c:v>
                </c:pt>
                <c:pt idx="8">
                  <c:v>9232.1535803253009</c:v>
                </c:pt>
                <c:pt idx="9">
                  <c:v>9232.1535803253009</c:v>
                </c:pt>
                <c:pt idx="10">
                  <c:v>9232.1535803253009</c:v>
                </c:pt>
                <c:pt idx="11">
                  <c:v>9232.1535803253009</c:v>
                </c:pt>
                <c:pt idx="12">
                  <c:v>9232.1535803253009</c:v>
                </c:pt>
                <c:pt idx="13">
                  <c:v>9232.1535803253009</c:v>
                </c:pt>
                <c:pt idx="14">
                  <c:v>7719.851574764929</c:v>
                </c:pt>
                <c:pt idx="15">
                  <c:v>6455.27696413177</c:v>
                </c:pt>
                <c:pt idx="16">
                  <c:v>5397.8499819692652</c:v>
                </c:pt>
                <c:pt idx="17">
                  <c:v>4513.6381583225339</c:v>
                </c:pt>
                <c:pt idx="18">
                  <c:v>3774.2674383908488</c:v>
                </c:pt>
                <c:pt idx="19">
                  <c:v>3156.0116688200642</c:v>
                </c:pt>
                <c:pt idx="20">
                  <c:v>2639.0312335617123</c:v>
                </c:pt>
                <c:pt idx="21">
                  <c:v>2206.7364073840899</c:v>
                </c:pt>
                <c:pt idx="22">
                  <c:v>1845.2549972673771</c:v>
                </c:pt>
                <c:pt idx="23">
                  <c:v>1542.987188477369</c:v>
                </c:pt>
                <c:pt idx="24">
                  <c:v>1290.2333104806746</c:v>
                </c:pt>
                <c:pt idx="25">
                  <c:v>1078.8825778369946</c:v>
                </c:pt>
                <c:pt idx="26">
                  <c:v>902.15281787024776</c:v>
                </c:pt>
                <c:pt idx="27">
                  <c:v>754.37283306858205</c:v>
                </c:pt>
                <c:pt idx="28">
                  <c:v>649.53928643443567</c:v>
                </c:pt>
                <c:pt idx="29">
                  <c:v>649.53928643443567</c:v>
                </c:pt>
                <c:pt idx="30">
                  <c:v>649.53928643443567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4C6-4A17-AE20-8C821717D04F}"/>
            </c:ext>
          </c:extLst>
        </c:ser>
        <c:ser>
          <c:idx val="0"/>
          <c:order val="2"/>
          <c:tx>
            <c:strRef>
              <c:f>'absorbing mode datasheet'!$S$99</c:f>
              <c:strCache>
                <c:ptCount val="1"/>
                <c:pt idx="0">
                  <c:v>rpm S6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datasheet'!$P$100:$P$130</c:f>
              <c:numCache>
                <c:formatCode>0</c:formatCode>
                <c:ptCount val="31"/>
                <c:pt idx="0">
                  <c:v>10</c:v>
                </c:pt>
                <c:pt idx="1">
                  <c:v>828.09000000000015</c:v>
                </c:pt>
                <c:pt idx="2">
                  <c:v>828.09000000000015</c:v>
                </c:pt>
                <c:pt idx="3">
                  <c:v>867.96059564244672</c:v>
                </c:pt>
                <c:pt idx="4">
                  <c:v>907.83119128489329</c:v>
                </c:pt>
                <c:pt idx="5">
                  <c:v>947.70178692733987</c:v>
                </c:pt>
                <c:pt idx="6">
                  <c:v>987.57238256978644</c:v>
                </c:pt>
                <c:pt idx="7">
                  <c:v>1027.4429782122329</c:v>
                </c:pt>
                <c:pt idx="8">
                  <c:v>1067.3135738546794</c:v>
                </c:pt>
                <c:pt idx="9">
                  <c:v>1107.1841694971258</c:v>
                </c:pt>
                <c:pt idx="10">
                  <c:v>1147.0547651395723</c:v>
                </c:pt>
                <c:pt idx="11">
                  <c:v>1186.9253607820187</c:v>
                </c:pt>
                <c:pt idx="12">
                  <c:v>1226.7959564244654</c:v>
                </c:pt>
                <c:pt idx="13">
                  <c:v>1226.7959564244654</c:v>
                </c:pt>
                <c:pt idx="14">
                  <c:v>1349.4755520669121</c:v>
                </c:pt>
                <c:pt idx="15">
                  <c:v>1484.4231072736034</c:v>
                </c:pt>
                <c:pt idx="16">
                  <c:v>1632.8654180009639</c:v>
                </c:pt>
                <c:pt idx="17">
                  <c:v>1796.1519598010605</c:v>
                </c:pt>
                <c:pt idx="18">
                  <c:v>1975.7671557811666</c:v>
                </c:pt>
                <c:pt idx="19">
                  <c:v>2173.3438713592836</c:v>
                </c:pt>
                <c:pt idx="20">
                  <c:v>2390.678258495212</c:v>
                </c:pt>
                <c:pt idx="21">
                  <c:v>2629.7460843447334</c:v>
                </c:pt>
                <c:pt idx="22">
                  <c:v>2892.7206927792072</c:v>
                </c:pt>
                <c:pt idx="23">
                  <c:v>3181.9927620571279</c:v>
                </c:pt>
                <c:pt idx="24">
                  <c:v>3310</c:v>
                </c:pt>
                <c:pt idx="25">
                  <c:v>3310</c:v>
                </c:pt>
                <c:pt idx="26">
                  <c:v>3310</c:v>
                </c:pt>
                <c:pt idx="27">
                  <c:v>3310</c:v>
                </c:pt>
                <c:pt idx="28">
                  <c:v>3310</c:v>
                </c:pt>
                <c:pt idx="29">
                  <c:v>3310</c:v>
                </c:pt>
                <c:pt idx="30">
                  <c:v>3310</c:v>
                </c:pt>
              </c:numCache>
            </c:numRef>
          </c:xVal>
          <c:yVal>
            <c:numRef>
              <c:f>'absorbing mode datasheet'!$R$100:$R$130</c:f>
              <c:numCache>
                <c:formatCode>0.0</c:formatCode>
                <c:ptCount val="31"/>
                <c:pt idx="0">
                  <c:v>6200</c:v>
                </c:pt>
                <c:pt idx="1">
                  <c:v>6200</c:v>
                </c:pt>
                <c:pt idx="2">
                  <c:v>6200</c:v>
                </c:pt>
                <c:pt idx="3">
                  <c:v>5915.1971020064593</c:v>
                </c:pt>
                <c:pt idx="4">
                  <c:v>5655.4104433594111</c:v>
                </c:pt>
                <c:pt idx="5">
                  <c:v>5417.4826626064341</c:v>
                </c:pt>
                <c:pt idx="6">
                  <c:v>5198.7662784172662</c:v>
                </c:pt>
                <c:pt idx="7">
                  <c:v>4997.0247584284607</c:v>
                </c:pt>
                <c:pt idx="8">
                  <c:v>4810.3557621380396</c:v>
                </c:pt>
                <c:pt idx="9">
                  <c:v>4637.1309683120689</c:v>
                </c:pt>
                <c:pt idx="10">
                  <c:v>4475.9484516637549</c:v>
                </c:pt>
                <c:pt idx="11">
                  <c:v>4325.5946579634165</c:v>
                </c:pt>
                <c:pt idx="12">
                  <c:v>4185.013793951247</c:v>
                </c:pt>
                <c:pt idx="13">
                  <c:v>4185.013793951247</c:v>
                </c:pt>
                <c:pt idx="14">
                  <c:v>3499.4744234431487</c:v>
                </c:pt>
                <c:pt idx="15">
                  <c:v>2926.2319894937536</c:v>
                </c:pt>
                <c:pt idx="16">
                  <c:v>2446.8913385889409</c:v>
                </c:pt>
                <c:pt idx="17">
                  <c:v>2046.0705932947567</c:v>
                </c:pt>
                <c:pt idx="18">
                  <c:v>1710.907553074976</c:v>
                </c:pt>
                <c:pt idx="19">
                  <c:v>1430.6469506779665</c:v>
                </c:pt>
                <c:pt idx="20">
                  <c:v>1196.2953192915566</c:v>
                </c:pt>
                <c:pt idx="21">
                  <c:v>1000.3323952710314</c:v>
                </c:pt>
                <c:pt idx="22">
                  <c:v>836.46979545257295</c:v>
                </c:pt>
                <c:pt idx="23">
                  <c:v>699.44922508972297</c:v>
                </c:pt>
                <c:pt idx="24">
                  <c:v>649.53928643443555</c:v>
                </c:pt>
                <c:pt idx="25">
                  <c:v>649.53928643443555</c:v>
                </c:pt>
                <c:pt idx="26">
                  <c:v>649.53928643443555</c:v>
                </c:pt>
                <c:pt idx="27">
                  <c:v>649.53928643443555</c:v>
                </c:pt>
                <c:pt idx="28">
                  <c:v>649.53928643443555</c:v>
                </c:pt>
                <c:pt idx="29">
                  <c:v>649.53928643443555</c:v>
                </c:pt>
                <c:pt idx="30">
                  <c:v>649.53928643443555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34C6-4A17-AE20-8C821717D04F}"/>
            </c:ext>
          </c:extLst>
        </c:ser>
        <c:ser>
          <c:idx val="2"/>
          <c:order val="3"/>
          <c:tx>
            <c:strRef>
              <c:f>'absorbing mode datasheet'!$B$91</c:f>
              <c:strCache>
                <c:ptCount val="1"/>
                <c:pt idx="0">
                  <c:v>Nm 1</c:v>
                </c:pt>
              </c:strCache>
            </c:strRef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datasheet'!$A$92:$A$111</c:f>
              <c:numCache>
                <c:formatCode>0</c:formatCode>
                <c:ptCount val="20"/>
              </c:numCache>
            </c:numRef>
          </c:xVal>
          <c:yVal>
            <c:numRef>
              <c:f>'absorbing mode datasheet'!$B$92:$B$111</c:f>
              <c:numCache>
                <c:formatCode>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34C6-4A17-AE20-8C821717D04F}"/>
            </c:ext>
          </c:extLst>
        </c:ser>
        <c:ser>
          <c:idx val="3"/>
          <c:order val="4"/>
          <c:tx>
            <c:strRef>
              <c:f>'absorbing mode datasheet'!$C$91</c:f>
              <c:strCache>
                <c:ptCount val="1"/>
                <c:pt idx="0">
                  <c:v>Nm 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datasheet'!$A$92:$A$111</c:f>
              <c:numCache>
                <c:formatCode>0</c:formatCode>
                <c:ptCount val="20"/>
              </c:numCache>
            </c:numRef>
          </c:xVal>
          <c:yVal>
            <c:numRef>
              <c:f>'absorbing mode datasheet'!$C$92:$C$111</c:f>
              <c:numCache>
                <c:formatCode>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34C6-4A17-AE20-8C821717D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060416"/>
        <c:axId val="128078976"/>
      </c:scatterChart>
      <c:valAx>
        <c:axId val="128060416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rpm</a:t>
                </a:r>
              </a:p>
            </c:rich>
          </c:tx>
          <c:layout>
            <c:manualLayout>
              <c:xMode val="edge"/>
              <c:yMode val="edge"/>
              <c:x val="0.51254803893314993"/>
              <c:y val="0.9181084182658988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n-US"/>
          </a:p>
        </c:txPr>
        <c:crossAx val="128078976"/>
        <c:crosses val="autoZero"/>
        <c:crossBetween val="midCat"/>
      </c:valAx>
      <c:valAx>
        <c:axId val="128078976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Nm</a:t>
                </a:r>
              </a:p>
            </c:rich>
          </c:tx>
          <c:layout>
            <c:manualLayout>
              <c:xMode val="edge"/>
              <c:yMode val="edge"/>
              <c:x val="2.0124749112243337E-2"/>
              <c:y val="0.4223043846600818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n-US"/>
          </a:p>
        </c:txPr>
        <c:crossAx val="128060416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091672070402967"/>
          <c:y val="0.10766861950679985"/>
          <c:w val="0.86000370541917581"/>
          <c:h val="7.426522128794810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 panose="020B0606020202030204" pitchFamily="34" charset="0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" footer="0"/>
    <c:pageSetup paperSize="9" orientation="landscape" horizontalDpi="1200" verticalDpi="12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Nm vs rpm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972618881545025"/>
          <c:y val="0.16050010896652361"/>
          <c:w val="0.75843133773564109"/>
          <c:h val="0.72395367482622797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'limit 480V'!$E$1</c:f>
              <c:strCache>
                <c:ptCount val="1"/>
                <c:pt idx="0">
                  <c:v>Corba parell-velocitat a Nnom</c:v>
                </c:pt>
              </c:strCache>
            </c:strRef>
          </c:tx>
          <c:marker>
            <c:symbol val="none"/>
          </c:marker>
          <c:xVal>
            <c:numRef>
              <c:f>'limit 480V'!$I$3:$I$25</c:f>
              <c:numCache>
                <c:formatCode>0</c:formatCode>
                <c:ptCount val="23"/>
                <c:pt idx="0">
                  <c:v>667.48799900000006</c:v>
                </c:pt>
                <c:pt idx="1">
                  <c:v>667.48799900000006</c:v>
                </c:pt>
                <c:pt idx="2">
                  <c:v>667.48799900000006</c:v>
                </c:pt>
                <c:pt idx="3">
                  <c:v>667.48799900000006</c:v>
                </c:pt>
                <c:pt idx="4">
                  <c:v>667.48799900000006</c:v>
                </c:pt>
                <c:pt idx="5">
                  <c:v>667.48799900000006</c:v>
                </c:pt>
                <c:pt idx="6">
                  <c:v>667.48799900000006</c:v>
                </c:pt>
                <c:pt idx="7">
                  <c:v>667.48799900000006</c:v>
                </c:pt>
                <c:pt idx="8">
                  <c:v>667.48799900000006</c:v>
                </c:pt>
                <c:pt idx="9">
                  <c:v>667.48799900000006</c:v>
                </c:pt>
                <c:pt idx="10">
                  <c:v>667.48799900000006</c:v>
                </c:pt>
                <c:pt idx="11">
                  <c:v>667.48799900000006</c:v>
                </c:pt>
                <c:pt idx="12">
                  <c:v>667.48799900000006</c:v>
                </c:pt>
                <c:pt idx="13">
                  <c:v>667.48799900000006</c:v>
                </c:pt>
                <c:pt idx="14">
                  <c:v>667.48799900000006</c:v>
                </c:pt>
                <c:pt idx="15">
                  <c:v>667.48799900000006</c:v>
                </c:pt>
                <c:pt idx="16">
                  <c:v>667.48799900000006</c:v>
                </c:pt>
                <c:pt idx="17">
                  <c:v>667.48799900000006</c:v>
                </c:pt>
                <c:pt idx="18">
                  <c:v>667.48799900000006</c:v>
                </c:pt>
                <c:pt idx="19">
                  <c:v>667.48799900000006</c:v>
                </c:pt>
                <c:pt idx="20">
                  <c:v>667.48799900000006</c:v>
                </c:pt>
              </c:numCache>
            </c:numRef>
          </c:xVal>
          <c:yVal>
            <c:numRef>
              <c:f>'limit 480V'!$K$3:$K$25</c:f>
              <c:numCache>
                <c:formatCode>0</c:formatCode>
                <c:ptCount val="23"/>
                <c:pt idx="0">
                  <c:v>5.0603852997623845E-4</c:v>
                </c:pt>
                <c:pt idx="1">
                  <c:v>3195.167447897325</c:v>
                </c:pt>
                <c:pt idx="2">
                  <c:v>6447.9720544371849</c:v>
                </c:pt>
                <c:pt idx="3">
                  <c:v>7040.9668955361876</c:v>
                </c:pt>
                <c:pt idx="4">
                  <c:v>7637.6459539830648</c:v>
                </c:pt>
                <c:pt idx="5">
                  <c:v>8238.0102245333492</c:v>
                </c:pt>
                <c:pt idx="6">
                  <c:v>8842.0605879215236</c:v>
                </c:pt>
                <c:pt idx="7">
                  <c:v>9449.7978102131692</c:v>
                </c:pt>
                <c:pt idx="8">
                  <c:v>10061.222542155852</c:v>
                </c:pt>
                <c:pt idx="9">
                  <c:v>10676.335318528751</c:v>
                </c:pt>
                <c:pt idx="10">
                  <c:v>11295.136557490974</c:v>
                </c:pt>
                <c:pt idx="11">
                  <c:v>11917.626559928713</c:v>
                </c:pt>
                <c:pt idx="12">
                  <c:v>12543.805508801039</c:v>
                </c:pt>
                <c:pt idx="13">
                  <c:v>13173.673468484452</c:v>
                </c:pt>
                <c:pt idx="14">
                  <c:v>13807.230384116223</c:v>
                </c:pt>
                <c:pt idx="15">
                  <c:v>14444.476080936402</c:v>
                </c:pt>
                <c:pt idx="16">
                  <c:v>15852.914440570654</c:v>
                </c:pt>
                <c:pt idx="17">
                  <c:v>15868.5625794754</c:v>
                </c:pt>
                <c:pt idx="18">
                  <c:v>97.058307005070688</c:v>
                </c:pt>
                <c:pt idx="19">
                  <c:v>110.54433960249027</c:v>
                </c:pt>
                <c:pt idx="20">
                  <c:v>122.89677849205562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A5D-4CF0-9332-DE06E24DDBD5}"/>
            </c:ext>
          </c:extLst>
        </c:ser>
        <c:ser>
          <c:idx val="3"/>
          <c:order val="1"/>
          <c:tx>
            <c:strRef>
              <c:f>'limit 480V'!$E$25</c:f>
              <c:strCache>
                <c:ptCount val="1"/>
                <c:pt idx="0">
                  <c:v>Limit 480V</c:v>
                </c:pt>
              </c:strCache>
            </c:strRef>
          </c:tx>
          <c:xVal>
            <c:numRef>
              <c:f>'limit 480V'!$I$27:$I$56</c:f>
              <c:numCache>
                <c:formatCode>0</c:formatCode>
                <c:ptCount val="30"/>
                <c:pt idx="0">
                  <c:v>667.48800000000006</c:v>
                </c:pt>
                <c:pt idx="1">
                  <c:v>713.26445454545456</c:v>
                </c:pt>
                <c:pt idx="2">
                  <c:v>759.04090909090928</c:v>
                </c:pt>
                <c:pt idx="3">
                  <c:v>804.81736363636378</c:v>
                </c:pt>
                <c:pt idx="4">
                  <c:v>850.59381818181839</c:v>
                </c:pt>
                <c:pt idx="5">
                  <c:v>896.37027272727289</c:v>
                </c:pt>
                <c:pt idx="6">
                  <c:v>942.1467272727275</c:v>
                </c:pt>
                <c:pt idx="7">
                  <c:v>987.923181818182</c:v>
                </c:pt>
                <c:pt idx="8">
                  <c:v>1033.6996363636367</c:v>
                </c:pt>
                <c:pt idx="9">
                  <c:v>1079.4760909090915</c:v>
                </c:pt>
                <c:pt idx="10">
                  <c:v>1125.252545454546</c:v>
                </c:pt>
                <c:pt idx="11">
                  <c:v>1171.0290000000007</c:v>
                </c:pt>
                <c:pt idx="12">
                  <c:v>1216.8054545454552</c:v>
                </c:pt>
                <c:pt idx="13">
                  <c:v>1262.5819090909097</c:v>
                </c:pt>
                <c:pt idx="14">
                  <c:v>1308.3583636363642</c:v>
                </c:pt>
                <c:pt idx="15">
                  <c:v>1354.1348181818187</c:v>
                </c:pt>
                <c:pt idx="16">
                  <c:v>1399.9112727272729</c:v>
                </c:pt>
                <c:pt idx="17">
                  <c:v>1445.6877272727274</c:v>
                </c:pt>
                <c:pt idx="18">
                  <c:v>1491.4641818181819</c:v>
                </c:pt>
                <c:pt idx="19">
                  <c:v>1537.2406363636364</c:v>
                </c:pt>
                <c:pt idx="20">
                  <c:v>1583.0170909090909</c:v>
                </c:pt>
                <c:pt idx="21">
                  <c:v>1628.7935454545452</c:v>
                </c:pt>
                <c:pt idx="22">
                  <c:v>1674.57</c:v>
                </c:pt>
                <c:pt idx="23">
                  <c:v>1759.77</c:v>
                </c:pt>
                <c:pt idx="24">
                  <c:v>1849.23</c:v>
                </c:pt>
                <c:pt idx="25">
                  <c:v>1943.163</c:v>
                </c:pt>
                <c:pt idx="26">
                  <c:v>2041.7926500000001</c:v>
                </c:pt>
                <c:pt idx="27">
                  <c:v>1856.7837825000006</c:v>
                </c:pt>
                <c:pt idx="28">
                  <c:v>1965.5229716250005</c:v>
                </c:pt>
                <c:pt idx="29">
                  <c:v>2079.6991202062504</c:v>
                </c:pt>
              </c:numCache>
            </c:numRef>
          </c:xVal>
          <c:yVal>
            <c:numRef>
              <c:f>'limit 480V'!$K$27:$K$56</c:f>
              <c:numCache>
                <c:formatCode>0</c:formatCode>
                <c:ptCount val="30"/>
                <c:pt idx="0">
                  <c:v>14444.476038565008</c:v>
                </c:pt>
                <c:pt idx="1">
                  <c:v>12736.096491606208</c:v>
                </c:pt>
                <c:pt idx="2">
                  <c:v>11319.143501255281</c:v>
                </c:pt>
                <c:pt idx="3">
                  <c:v>10130.636144086504</c:v>
                </c:pt>
                <c:pt idx="4">
                  <c:v>9123.7574396351811</c:v>
                </c:pt>
                <c:pt idx="5">
                  <c:v>8263.1169850491115</c:v>
                </c:pt>
                <c:pt idx="6">
                  <c:v>7521.558173276826</c:v>
                </c:pt>
                <c:pt idx="7">
                  <c:v>6877.9600944855811</c:v>
                </c:pt>
                <c:pt idx="8">
                  <c:v>6315.6950547751921</c:v>
                </c:pt>
                <c:pt idx="9">
                  <c:v>5821.5273490625841</c:v>
                </c:pt>
                <c:pt idx="10">
                  <c:v>5384.8146756203732</c:v>
                </c:pt>
                <c:pt idx="11">
                  <c:v>4996.920714296617</c:v>
                </c:pt>
                <c:pt idx="12">
                  <c:v>4650.7773657733742</c:v>
                </c:pt>
                <c:pt idx="13">
                  <c:v>4340.5545947269338</c:v>
                </c:pt>
                <c:pt idx="14">
                  <c:v>4061.4086658864917</c:v>
                </c:pt>
                <c:pt idx="15">
                  <c:v>3809.2881914000654</c:v>
                </c:pt>
                <c:pt idx="16">
                  <c:v>3580.7832947138527</c:v>
                </c:pt>
                <c:pt idx="17">
                  <c:v>3373.0072696363104</c:v>
                </c:pt>
                <c:pt idx="18">
                  <c:v>3183.5029694584678</c:v>
                </c:pt>
                <c:pt idx="19">
                  <c:v>3010.1681884654763</c:v>
                </c:pt>
                <c:pt idx="20">
                  <c:v>2851.1957539604746</c:v>
                </c:pt>
                <c:pt idx="21">
                  <c:v>2705.0251034921439</c:v>
                </c:pt>
                <c:pt idx="22">
                  <c:v>2570.3028965495828</c:v>
                </c:pt>
                <c:pt idx="23">
                  <c:v>2329.4590568550857</c:v>
                </c:pt>
                <c:pt idx="24">
                  <c:v>2111.262495201981</c:v>
                </c:pt>
                <c:pt idx="25">
                  <c:v>1913.5728999044886</c:v>
                </c:pt>
                <c:pt idx="26">
                  <c:v>1734.4536676678351</c:v>
                </c:pt>
                <c:pt idx="27">
                  <c:v>19055.564508525211</c:v>
                </c:pt>
                <c:pt idx="28">
                  <c:v>17199.876485668163</c:v>
                </c:pt>
                <c:pt idx="29">
                  <c:v>15525.958978212408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A5D-4CF0-9332-DE06E24DDBD5}"/>
            </c:ext>
          </c:extLst>
        </c:ser>
        <c:ser>
          <c:idx val="4"/>
          <c:order val="2"/>
          <c:tx>
            <c:strRef>
              <c:f>'limit 480V'!$E$58</c:f>
              <c:strCache>
                <c:ptCount val="1"/>
                <c:pt idx="0">
                  <c:v>Corba parell-velocitat a N1</c:v>
                </c:pt>
              </c:strCache>
            </c:strRef>
          </c:tx>
          <c:marker>
            <c:symbol val="none"/>
          </c:marker>
          <c:xVal>
            <c:numRef>
              <c:f>'limit 480V'!$I$60:$I$75</c:f>
              <c:numCache>
                <c:formatCode>0</c:formatCode>
                <c:ptCount val="16"/>
                <c:pt idx="0">
                  <c:v>1674.57</c:v>
                </c:pt>
                <c:pt idx="1">
                  <c:v>1674.57</c:v>
                </c:pt>
                <c:pt idx="2">
                  <c:v>1674.57</c:v>
                </c:pt>
                <c:pt idx="3">
                  <c:v>1674.57</c:v>
                </c:pt>
                <c:pt idx="4">
                  <c:v>1674.57</c:v>
                </c:pt>
                <c:pt idx="5">
                  <c:v>1674.57</c:v>
                </c:pt>
                <c:pt idx="6">
                  <c:v>1674.57</c:v>
                </c:pt>
                <c:pt idx="7">
                  <c:v>1674.57</c:v>
                </c:pt>
                <c:pt idx="8">
                  <c:v>1674.57</c:v>
                </c:pt>
                <c:pt idx="9">
                  <c:v>1674.57</c:v>
                </c:pt>
                <c:pt idx="10">
                  <c:v>1674.57</c:v>
                </c:pt>
                <c:pt idx="11">
                  <c:v>1674.57</c:v>
                </c:pt>
                <c:pt idx="12">
                  <c:v>1674.57</c:v>
                </c:pt>
                <c:pt idx="13">
                  <c:v>1674.57</c:v>
                </c:pt>
                <c:pt idx="14">
                  <c:v>1674.57</c:v>
                </c:pt>
                <c:pt idx="15">
                  <c:v>1674.57</c:v>
                </c:pt>
              </c:numCache>
            </c:numRef>
          </c:xVal>
          <c:yVal>
            <c:numRef>
              <c:f>'limit 480V'!$K$60:$K$75</c:f>
              <c:numCache>
                <c:formatCode>0</c:formatCode>
                <c:ptCount val="16"/>
                <c:pt idx="0">
                  <c:v>8.5854274100962707E-5</c:v>
                </c:pt>
                <c:pt idx="1">
                  <c:v>230.06568838526198</c:v>
                </c:pt>
                <c:pt idx="2">
                  <c:v>460.86173894028417</c:v>
                </c:pt>
                <c:pt idx="3">
                  <c:v>692.38468576727587</c:v>
                </c:pt>
                <c:pt idx="4">
                  <c:v>924.63095463121374</c:v>
                </c:pt>
                <c:pt idx="5">
                  <c:v>1157.5969488141122</c:v>
                </c:pt>
                <c:pt idx="6">
                  <c:v>1391.2790491150279</c:v>
                </c:pt>
                <c:pt idx="7">
                  <c:v>1625.6736138500553</c:v>
                </c:pt>
                <c:pt idx="8">
                  <c:v>1860.7769788523294</c:v>
                </c:pt>
                <c:pt idx="9">
                  <c:v>2096.585457472027</c:v>
                </c:pt>
                <c:pt idx="10">
                  <c:v>2333.0953405763594</c:v>
                </c:pt>
                <c:pt idx="11">
                  <c:v>2570.3028965495828</c:v>
                </c:pt>
                <c:pt idx="12">
                  <c:v>2729.7167624985059</c:v>
                </c:pt>
                <c:pt idx="13">
                  <c:v>2826.9349988880113</c:v>
                </c:pt>
                <c:pt idx="14">
                  <c:v>5.4263986782970086</c:v>
                </c:pt>
                <c:pt idx="15">
                  <c:v>6.380166252714929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A5D-4CF0-9332-DE06E24DDBD5}"/>
            </c:ext>
          </c:extLst>
        </c:ser>
        <c:ser>
          <c:idx val="0"/>
          <c:order val="3"/>
          <c:tx>
            <c:strRef>
              <c:f>'limit 480V'!$E$82</c:f>
              <c:strCache>
                <c:ptCount val="1"/>
                <c:pt idx="0">
                  <c:v>corba a pnom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ymbol val="none"/>
          </c:marker>
          <c:xVal>
            <c:numRef>
              <c:f>'limit 480V'!$I$84:$I$92</c:f>
              <c:numCache>
                <c:formatCode>0</c:formatCode>
                <c:ptCount val="9"/>
                <c:pt idx="0">
                  <c:v>667.48800000000006</c:v>
                </c:pt>
                <c:pt idx="1">
                  <c:v>800.98560000000009</c:v>
                </c:pt>
                <c:pt idx="2">
                  <c:v>961.1827199999999</c:v>
                </c:pt>
                <c:pt idx="3">
                  <c:v>1153.4192639999999</c:v>
                </c:pt>
                <c:pt idx="4">
                  <c:v>1384.1031167999997</c:v>
                </c:pt>
                <c:pt idx="5">
                  <c:v>1660.9237401599996</c:v>
                </c:pt>
                <c:pt idx="6">
                  <c:v>1672.6464000000001</c:v>
                </c:pt>
                <c:pt idx="7">
                  <c:v>1672.6464000000001</c:v>
                </c:pt>
                <c:pt idx="8">
                  <c:v>1674.57</c:v>
                </c:pt>
              </c:numCache>
            </c:numRef>
          </c:xVal>
          <c:yVal>
            <c:numRef>
              <c:f>'limit 480V'!$K$84:$K$92</c:f>
              <c:numCache>
                <c:formatCode>0</c:formatCode>
                <c:ptCount val="9"/>
                <c:pt idx="0">
                  <c:v>6447.9720447771278</c:v>
                </c:pt>
                <c:pt idx="1">
                  <c:v>5373.3100373142734</c:v>
                </c:pt>
                <c:pt idx="2">
                  <c:v>4477.7583644285614</c:v>
                </c:pt>
                <c:pt idx="3">
                  <c:v>3731.4653036904683</c:v>
                </c:pt>
                <c:pt idx="4">
                  <c:v>3109.5544197420572</c:v>
                </c:pt>
                <c:pt idx="5">
                  <c:v>2591.2953497850476</c:v>
                </c:pt>
                <c:pt idx="6">
                  <c:v>2573.1343840659906</c:v>
                </c:pt>
                <c:pt idx="7">
                  <c:v>2573.1343840659906</c:v>
                </c:pt>
                <c:pt idx="8" formatCode="0.00">
                  <c:v>2570.3028965495828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BA5D-4CF0-9332-DE06E24DDB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3350144"/>
        <c:axId val="133352064"/>
      </c:scatterChart>
      <c:valAx>
        <c:axId val="133350144"/>
        <c:scaling>
          <c:orientation val="minMax"/>
          <c:min val="0"/>
        </c:scaling>
        <c:delete val="0"/>
        <c:axPos val="b"/>
        <c:minorGridlines>
          <c:spPr>
            <a:ln>
              <a:prstDash val="sysDot"/>
            </a:ln>
          </c:spPr>
        </c:min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/>
                  <a:t>rpm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3352064"/>
        <c:crosses val="autoZero"/>
        <c:crossBetween val="midCat"/>
        <c:majorUnit val="1000"/>
      </c:valAx>
      <c:valAx>
        <c:axId val="133352064"/>
        <c:scaling>
          <c:orientation val="minMax"/>
        </c:scaling>
        <c:delete val="0"/>
        <c:axPos val="l"/>
        <c:majorGridlines>
          <c:spPr>
            <a:ln>
              <a:prstDash val="sysDot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/>
                  <a:t>Nm</a:t>
                </a:r>
              </a:p>
            </c:rich>
          </c:tx>
          <c:layout>
            <c:manualLayout>
              <c:xMode val="edge"/>
              <c:yMode val="edge"/>
              <c:x val="9.1964098141775308E-2"/>
              <c:y val="0.11891442253103948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3350144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7551229995943447"/>
          <c:y val="8.3072100313479669E-2"/>
          <c:w val="0.17381087855317978"/>
          <c:h val="0.17711598746081514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 codeName="Gráfico7"/>
  <sheetViews>
    <sheetView workbookViewId="0"/>
  </sheetViews>
  <sheetProtection content="1" objects="1"/>
  <pageMargins left="0.7" right="0.7" top="0.75" bottom="0.75" header="0.3" footer="0.3"/>
  <drawing r:id="rId1"/>
</chartsheet>
</file>

<file path=xl/ctrlProps/ctrlProp1.xml><?xml version="1.0" encoding="utf-8"?>
<formControlPr xmlns="http://schemas.microsoft.com/office/spreadsheetml/2009/9/main" objectType="Drop" dropStyle="combo" dx="22" fmlaLink="$Q$10" fmlaRange="$P$9:$P$10" noThreeD="1" sel="1" val="0"/>
</file>

<file path=xl/ctrlProps/ctrlProp2.xml><?xml version="1.0" encoding="utf-8"?>
<formControlPr xmlns="http://schemas.microsoft.com/office/spreadsheetml/2009/9/main" objectType="Drop" dropStyle="combo" dx="22" fmlaLink="$Q$10" fmlaRange="$P$9:$P$10" noThreeD="1" sel="1" val="0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</xdr:row>
          <xdr:rowOff>161925</xdr:rowOff>
        </xdr:from>
        <xdr:to>
          <xdr:col>0</xdr:col>
          <xdr:colOff>1819275</xdr:colOff>
          <xdr:row>4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111</xdr:row>
      <xdr:rowOff>276225</xdr:rowOff>
    </xdr:from>
    <xdr:to>
      <xdr:col>14</xdr:col>
      <xdr:colOff>9525</xdr:colOff>
      <xdr:row>135</xdr:row>
      <xdr:rowOff>0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87</xdr:row>
      <xdr:rowOff>238125</xdr:rowOff>
    </xdr:from>
    <xdr:to>
      <xdr:col>14</xdr:col>
      <xdr:colOff>0</xdr:colOff>
      <xdr:row>111</xdr:row>
      <xdr:rowOff>9525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66675</xdr:colOff>
      <xdr:row>143</xdr:row>
      <xdr:rowOff>28575</xdr:rowOff>
    </xdr:from>
    <xdr:to>
      <xdr:col>12</xdr:col>
      <xdr:colOff>104775</xdr:colOff>
      <xdr:row>143</xdr:row>
      <xdr:rowOff>904875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32280225"/>
          <a:ext cx="78486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</xdr:row>
          <xdr:rowOff>123825</xdr:rowOff>
        </xdr:from>
        <xdr:to>
          <xdr:col>2</xdr:col>
          <xdr:colOff>95250</xdr:colOff>
          <xdr:row>3</xdr:row>
          <xdr:rowOff>161925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75</xdr:row>
          <xdr:rowOff>133350</xdr:rowOff>
        </xdr:from>
        <xdr:to>
          <xdr:col>1</xdr:col>
          <xdr:colOff>533400</xdr:colOff>
          <xdr:row>77</xdr:row>
          <xdr:rowOff>85725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75</xdr:row>
          <xdr:rowOff>38100</xdr:rowOff>
        </xdr:from>
        <xdr:to>
          <xdr:col>2</xdr:col>
          <xdr:colOff>85725</xdr:colOff>
          <xdr:row>77</xdr:row>
          <xdr:rowOff>85725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342900</xdr:colOff>
          <xdr:row>9</xdr:row>
          <xdr:rowOff>19050</xdr:rowOff>
        </xdr:from>
        <xdr:to>
          <xdr:col>3</xdr:col>
          <xdr:colOff>476250</xdr:colOff>
          <xdr:row>10</xdr:row>
          <xdr:rowOff>9525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138</xdr:row>
          <xdr:rowOff>76200</xdr:rowOff>
        </xdr:from>
        <xdr:to>
          <xdr:col>2</xdr:col>
          <xdr:colOff>219075</xdr:colOff>
          <xdr:row>140</xdr:row>
          <xdr:rowOff>123825</xdr:rowOff>
        </xdr:to>
        <xdr:sp macro="" textlink="">
          <xdr:nvSpPr>
            <xdr:cNvPr id="2053" name="Object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238127</xdr:colOff>
      <xdr:row>41</xdr:row>
      <xdr:rowOff>59921</xdr:rowOff>
    </xdr:from>
    <xdr:to>
      <xdr:col>11</xdr:col>
      <xdr:colOff>733428</xdr:colOff>
      <xdr:row>70</xdr:row>
      <xdr:rowOff>148308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76315" y="10620765"/>
          <a:ext cx="8358188" cy="561288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35</xdr:row>
      <xdr:rowOff>47625</xdr:rowOff>
    </xdr:from>
    <xdr:to>
      <xdr:col>9</xdr:col>
      <xdr:colOff>742950</xdr:colOff>
      <xdr:row>50</xdr:row>
      <xdr:rowOff>95250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>
          <a:grpSpLocks/>
        </xdr:cNvGrpSpPr>
      </xdr:nvGrpSpPr>
      <xdr:grpSpPr bwMode="auto">
        <a:xfrm>
          <a:off x="1743075" y="7381875"/>
          <a:ext cx="8601075" cy="3190875"/>
          <a:chOff x="58" y="715"/>
          <a:chExt cx="825" cy="305"/>
        </a:xfrm>
      </xdr:grpSpPr>
      <xdr:sp macro="" textlink="">
        <xdr:nvSpPr>
          <xdr:cNvPr id="3" name="Rectangl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414" y="849"/>
            <a:ext cx="42" cy="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" name="Rectangle 4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488" y="849"/>
            <a:ext cx="39" cy="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" name="Line 5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05" y="774"/>
            <a:ext cx="75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Rectangle 6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161" y="751"/>
            <a:ext cx="86" cy="4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Rectangle 7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291" y="747"/>
            <a:ext cx="86" cy="4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Rectangle 8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584" y="751"/>
            <a:ext cx="98" cy="4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" name="Rectangle 9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>
            <a:spLocks noChangeArrowheads="1"/>
          </xdr:cNvSpPr>
        </xdr:nvSpPr>
        <xdr:spPr bwMode="auto">
          <a:xfrm>
            <a:off x="720" y="751"/>
            <a:ext cx="102" cy="49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" name="Line 10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SpPr>
            <a:spLocks noChangeShapeType="1"/>
          </xdr:cNvSpPr>
        </xdr:nvSpPr>
        <xdr:spPr bwMode="auto">
          <a:xfrm>
            <a:off x="504" y="777"/>
            <a:ext cx="0" cy="7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" name="Line 11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>
            <a:spLocks noChangeShapeType="1"/>
          </xdr:cNvSpPr>
        </xdr:nvSpPr>
        <xdr:spPr bwMode="auto">
          <a:xfrm>
            <a:off x="435" y="776"/>
            <a:ext cx="0" cy="7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12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>
            <a:spLocks noChangeShapeType="1"/>
          </xdr:cNvSpPr>
        </xdr:nvSpPr>
        <xdr:spPr bwMode="auto">
          <a:xfrm>
            <a:off x="856" y="772"/>
            <a:ext cx="0" cy="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" name="Rectangle 13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>
            <a:spLocks noChangeArrowheads="1"/>
          </xdr:cNvSpPr>
        </xdr:nvSpPr>
        <xdr:spPr bwMode="auto">
          <a:xfrm>
            <a:off x="837" y="828"/>
            <a:ext cx="46" cy="1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" name="Line 14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>
            <a:spLocks noChangeShapeType="1"/>
          </xdr:cNvSpPr>
        </xdr:nvSpPr>
        <xdr:spPr bwMode="auto">
          <a:xfrm>
            <a:off x="841" y="837"/>
            <a:ext cx="36" cy="10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" name="Line 15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845" y="842"/>
            <a:ext cx="30" cy="10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" name="Line 16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>
            <a:spLocks noChangeShapeType="1"/>
          </xdr:cNvSpPr>
        </xdr:nvSpPr>
        <xdr:spPr bwMode="auto">
          <a:xfrm>
            <a:off x="864" y="953"/>
            <a:ext cx="0" cy="67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" name="Line 17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09" y="1020"/>
            <a:ext cx="75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" name="Line 18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435" y="941"/>
            <a:ext cx="0" cy="7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" name="Line 19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>
            <a:spLocks noChangeShapeType="1"/>
          </xdr:cNvSpPr>
        </xdr:nvSpPr>
        <xdr:spPr bwMode="auto">
          <a:xfrm>
            <a:off x="504" y="941"/>
            <a:ext cx="0" cy="7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" name="Text Box 20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5" y="720"/>
            <a:ext cx="66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Rs</a:t>
            </a:r>
            <a:endParaRPr lang="es-ES"/>
          </a:p>
        </xdr:txBody>
      </xdr:sp>
      <xdr:sp macro="" textlink="">
        <xdr:nvSpPr>
          <xdr:cNvPr id="21" name="Text Box 21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4" y="718"/>
            <a:ext cx="58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Rr</a:t>
            </a:r>
            <a:endParaRPr lang="es-ES"/>
          </a:p>
        </xdr:txBody>
      </xdr:sp>
      <xdr:sp macro="" textlink="">
        <xdr:nvSpPr>
          <xdr:cNvPr id="22" name="Text Box 22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715"/>
            <a:ext cx="61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Ls</a:t>
            </a:r>
            <a:endParaRPr lang="es-ES"/>
          </a:p>
        </xdr:txBody>
      </xdr:sp>
      <xdr:sp macro="" textlink="">
        <xdr:nvSpPr>
          <xdr:cNvPr id="23" name="Text Box 23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9" y="718"/>
            <a:ext cx="58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Lr</a:t>
            </a:r>
            <a:endParaRPr lang="es-ES"/>
          </a:p>
        </xdr:txBody>
      </xdr:sp>
      <xdr:sp macro="" textlink="">
        <xdr:nvSpPr>
          <xdr:cNvPr id="24" name="Text Box 24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8" y="875"/>
            <a:ext cx="62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Lm</a:t>
            </a:r>
            <a:endParaRPr lang="es-ES"/>
          </a:p>
        </xdr:txBody>
      </xdr:sp>
      <xdr:sp macro="" textlink="">
        <xdr:nvSpPr>
          <xdr:cNvPr id="25" name="Text Box 25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7" y="869"/>
            <a:ext cx="63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RFe</a:t>
            </a:r>
            <a:endParaRPr lang="es-ES"/>
          </a:p>
        </xdr:txBody>
      </xdr:sp>
      <xdr:sp macro="" textlink="">
        <xdr:nvSpPr>
          <xdr:cNvPr id="26" name="Line 26">
            <a:extLst>
              <a:ext uri="{FF2B5EF4-FFF2-40B4-BE49-F238E27FC236}">
                <a16:creationId xmlns:a16="http://schemas.microsoft.com/office/drawing/2014/main" id="{00000000-0008-0000-0200-00001A000000}"/>
              </a:ext>
            </a:extLst>
          </xdr:cNvPr>
          <xdr:cNvSpPr>
            <a:spLocks noChangeShapeType="1"/>
          </xdr:cNvSpPr>
        </xdr:nvSpPr>
        <xdr:spPr bwMode="auto">
          <a:xfrm>
            <a:off x="584" y="860"/>
            <a:ext cx="0" cy="91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7" name="Text Box 27">
            <a:extLst>
              <a:ext uri="{FF2B5EF4-FFF2-40B4-BE49-F238E27FC236}">
                <a16:creationId xmlns:a16="http://schemas.microsoft.com/office/drawing/2014/main" id="{00000000-0008-0000-0200-00001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6" y="874"/>
            <a:ext cx="63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Im</a:t>
            </a:r>
            <a:endParaRPr lang="es-ES"/>
          </a:p>
        </xdr:txBody>
      </xdr:sp>
      <xdr:sp macro="" textlink="">
        <xdr:nvSpPr>
          <xdr:cNvPr id="28" name="Line 28">
            <a:extLst>
              <a:ext uri="{FF2B5EF4-FFF2-40B4-BE49-F238E27FC236}">
                <a16:creationId xmlns:a16="http://schemas.microsoft.com/office/drawing/2014/main" id="{00000000-0008-0000-0200-00001C000000}"/>
              </a:ext>
            </a:extLst>
          </xdr:cNvPr>
          <xdr:cNvSpPr>
            <a:spLocks noChangeShapeType="1"/>
          </xdr:cNvSpPr>
        </xdr:nvSpPr>
        <xdr:spPr bwMode="auto">
          <a:xfrm>
            <a:off x="142" y="816"/>
            <a:ext cx="122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" name="Text Box 29">
            <a:extLst>
              <a:ext uri="{FF2B5EF4-FFF2-40B4-BE49-F238E27FC236}">
                <a16:creationId xmlns:a16="http://schemas.microsoft.com/office/drawing/2014/main" id="{00000000-0008-0000-0200-00001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0" y="823"/>
            <a:ext cx="57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Is</a:t>
            </a:r>
            <a:endParaRPr lang="es-ES"/>
          </a:p>
        </xdr:txBody>
      </xdr:sp>
      <xdr:sp macro="" textlink="">
        <xdr:nvSpPr>
          <xdr:cNvPr id="30" name="Line 30">
            <a:extLst>
              <a:ext uri="{FF2B5EF4-FFF2-40B4-BE49-F238E27FC236}">
                <a16:creationId xmlns:a16="http://schemas.microsoft.com/office/drawing/2014/main" id="{00000000-0008-0000-0200-00001E000000}"/>
              </a:ext>
            </a:extLst>
          </xdr:cNvPr>
          <xdr:cNvSpPr>
            <a:spLocks noChangeShapeType="1"/>
          </xdr:cNvSpPr>
        </xdr:nvSpPr>
        <xdr:spPr bwMode="auto">
          <a:xfrm>
            <a:off x="99" y="788"/>
            <a:ext cx="0" cy="21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" name="Text Box 31">
            <a:extLst>
              <a:ext uri="{FF2B5EF4-FFF2-40B4-BE49-F238E27FC236}">
                <a16:creationId xmlns:a16="http://schemas.microsoft.com/office/drawing/2014/main" id="{00000000-0008-0000-0200-00001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" y="872"/>
            <a:ext cx="63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32004" rIns="0" bIns="0" anchor="t" upright="1"/>
          <a:lstStyle/>
          <a:p>
            <a:pPr algn="l" rtl="0">
              <a:defRPr sz="1000"/>
            </a:pPr>
            <a:r>
              <a:rPr lang="es-ES" sz="1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Vs</a:t>
            </a:r>
            <a:endParaRPr lang="es-ES"/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1</xdr:row>
          <xdr:rowOff>142875</xdr:rowOff>
        </xdr:from>
        <xdr:to>
          <xdr:col>1</xdr:col>
          <xdr:colOff>723900</xdr:colOff>
          <xdr:row>4</xdr:row>
          <xdr:rowOff>76200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111</xdr:row>
      <xdr:rowOff>276226</xdr:rowOff>
    </xdr:from>
    <xdr:to>
      <xdr:col>14</xdr:col>
      <xdr:colOff>9525</xdr:colOff>
      <xdr:row>135</xdr:row>
      <xdr:rowOff>0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87</xdr:row>
      <xdr:rowOff>242455</xdr:rowOff>
    </xdr:from>
    <xdr:to>
      <xdr:col>14</xdr:col>
      <xdr:colOff>0</xdr:colOff>
      <xdr:row>111</xdr:row>
      <xdr:rowOff>9526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66675</xdr:colOff>
      <xdr:row>143</xdr:row>
      <xdr:rowOff>28575</xdr:rowOff>
    </xdr:from>
    <xdr:to>
      <xdr:col>12</xdr:col>
      <xdr:colOff>190500</xdr:colOff>
      <xdr:row>143</xdr:row>
      <xdr:rowOff>885825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32280225"/>
          <a:ext cx="7934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</xdr:row>
          <xdr:rowOff>123825</xdr:rowOff>
        </xdr:from>
        <xdr:to>
          <xdr:col>2</xdr:col>
          <xdr:colOff>95250</xdr:colOff>
          <xdr:row>3</xdr:row>
          <xdr:rowOff>161925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75</xdr:row>
          <xdr:rowOff>133350</xdr:rowOff>
        </xdr:from>
        <xdr:to>
          <xdr:col>1</xdr:col>
          <xdr:colOff>533400</xdr:colOff>
          <xdr:row>77</xdr:row>
          <xdr:rowOff>85725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75</xdr:row>
          <xdr:rowOff>38100</xdr:rowOff>
        </xdr:from>
        <xdr:to>
          <xdr:col>2</xdr:col>
          <xdr:colOff>85725</xdr:colOff>
          <xdr:row>77</xdr:row>
          <xdr:rowOff>85725</xdr:rowOff>
        </xdr:to>
        <xdr:sp macro="" textlink="">
          <xdr:nvSpPr>
            <xdr:cNvPr id="4099" name="Object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219075</xdr:colOff>
          <xdr:row>9</xdr:row>
          <xdr:rowOff>28575</xdr:rowOff>
        </xdr:from>
        <xdr:to>
          <xdr:col>3</xdr:col>
          <xdr:colOff>361950</xdr:colOff>
          <xdr:row>10</xdr:row>
          <xdr:rowOff>19050</xdr:rowOff>
        </xdr:to>
        <xdr:sp macro="" textlink="">
          <xdr:nvSpPr>
            <xdr:cNvPr id="4100" name="Drop Down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3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138</xdr:row>
          <xdr:rowOff>76200</xdr:rowOff>
        </xdr:from>
        <xdr:to>
          <xdr:col>2</xdr:col>
          <xdr:colOff>209550</xdr:colOff>
          <xdr:row>140</xdr:row>
          <xdr:rowOff>114300</xdr:rowOff>
        </xdr:to>
        <xdr:sp macro="" textlink="">
          <xdr:nvSpPr>
            <xdr:cNvPr id="4101" name="Object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3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222244</xdr:colOff>
      <xdr:row>41</xdr:row>
      <xdr:rowOff>54187</xdr:rowOff>
    </xdr:from>
    <xdr:to>
      <xdr:col>11</xdr:col>
      <xdr:colOff>773106</xdr:colOff>
      <xdr:row>70</xdr:row>
      <xdr:rowOff>126999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772" t="7187" r="1649" b="2045"/>
        <a:stretch/>
      </xdr:blipFill>
      <xdr:spPr>
        <a:xfrm>
          <a:off x="952494" y="10603125"/>
          <a:ext cx="8326437" cy="55973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847725</xdr:colOff>
      <xdr:row>36</xdr:row>
      <xdr:rowOff>38100</xdr:rowOff>
    </xdr:from>
    <xdr:to>
      <xdr:col>9</xdr:col>
      <xdr:colOff>914400</xdr:colOff>
      <xdr:row>51</xdr:row>
      <xdr:rowOff>104775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>
          <a:grpSpLocks/>
        </xdr:cNvGrpSpPr>
      </xdr:nvGrpSpPr>
      <xdr:grpSpPr bwMode="auto">
        <a:xfrm>
          <a:off x="1914525" y="7581900"/>
          <a:ext cx="8601075" cy="3190875"/>
          <a:chOff x="58" y="715"/>
          <a:chExt cx="825" cy="305"/>
        </a:xfrm>
      </xdr:grpSpPr>
      <xdr:sp macro="" textlink="">
        <xdr:nvSpPr>
          <xdr:cNvPr id="3" name="Rectangle 3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414" y="849"/>
            <a:ext cx="42" cy="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" name="Rectangle 4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488" y="849"/>
            <a:ext cx="39" cy="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" name="Line 5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05" y="774"/>
            <a:ext cx="75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Rectangle 6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161" y="751"/>
            <a:ext cx="86" cy="4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Rectangle 7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291" y="747"/>
            <a:ext cx="86" cy="4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Rectangle 8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584" y="751"/>
            <a:ext cx="98" cy="4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" name="Rectangle 9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SpPr>
            <a:spLocks noChangeArrowheads="1"/>
          </xdr:cNvSpPr>
        </xdr:nvSpPr>
        <xdr:spPr bwMode="auto">
          <a:xfrm>
            <a:off x="720" y="751"/>
            <a:ext cx="102" cy="49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" name="Line 10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SpPr>
            <a:spLocks noChangeShapeType="1"/>
          </xdr:cNvSpPr>
        </xdr:nvSpPr>
        <xdr:spPr bwMode="auto">
          <a:xfrm>
            <a:off x="504" y="777"/>
            <a:ext cx="0" cy="7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" name="Line 11">
            <a:extLst>
              <a:ext uri="{FF2B5EF4-FFF2-40B4-BE49-F238E27FC236}">
                <a16:creationId xmlns:a16="http://schemas.microsoft.com/office/drawing/2014/main" id="{00000000-0008-0000-0400-00000B000000}"/>
              </a:ext>
            </a:extLst>
          </xdr:cNvPr>
          <xdr:cNvSpPr>
            <a:spLocks noChangeShapeType="1"/>
          </xdr:cNvSpPr>
        </xdr:nvSpPr>
        <xdr:spPr bwMode="auto">
          <a:xfrm>
            <a:off x="435" y="776"/>
            <a:ext cx="0" cy="7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12">
            <a:extLst>
              <a:ext uri="{FF2B5EF4-FFF2-40B4-BE49-F238E27FC236}">
                <a16:creationId xmlns:a16="http://schemas.microsoft.com/office/drawing/2014/main" id="{00000000-0008-0000-0400-00000C000000}"/>
              </a:ext>
            </a:extLst>
          </xdr:cNvPr>
          <xdr:cNvSpPr>
            <a:spLocks noChangeShapeType="1"/>
          </xdr:cNvSpPr>
        </xdr:nvSpPr>
        <xdr:spPr bwMode="auto">
          <a:xfrm>
            <a:off x="856" y="772"/>
            <a:ext cx="0" cy="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" name="Rectangle 13">
            <a:extLst>
              <a:ext uri="{FF2B5EF4-FFF2-40B4-BE49-F238E27FC236}">
                <a16:creationId xmlns:a16="http://schemas.microsoft.com/office/drawing/2014/main" id="{00000000-0008-0000-0400-00000D000000}"/>
              </a:ext>
            </a:extLst>
          </xdr:cNvPr>
          <xdr:cNvSpPr>
            <a:spLocks noChangeArrowheads="1"/>
          </xdr:cNvSpPr>
        </xdr:nvSpPr>
        <xdr:spPr bwMode="auto">
          <a:xfrm>
            <a:off x="837" y="828"/>
            <a:ext cx="46" cy="1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" name="Line 14">
            <a:extLst>
              <a:ext uri="{FF2B5EF4-FFF2-40B4-BE49-F238E27FC236}">
                <a16:creationId xmlns:a16="http://schemas.microsoft.com/office/drawing/2014/main" id="{00000000-0008-0000-0400-00000E000000}"/>
              </a:ext>
            </a:extLst>
          </xdr:cNvPr>
          <xdr:cNvSpPr>
            <a:spLocks noChangeShapeType="1"/>
          </xdr:cNvSpPr>
        </xdr:nvSpPr>
        <xdr:spPr bwMode="auto">
          <a:xfrm>
            <a:off x="841" y="837"/>
            <a:ext cx="36" cy="10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" name="Line 15">
            <a:extLst>
              <a:ext uri="{FF2B5EF4-FFF2-40B4-BE49-F238E27FC236}">
                <a16:creationId xmlns:a16="http://schemas.microsoft.com/office/drawing/2014/main" id="{00000000-0008-0000-0400-00000F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845" y="842"/>
            <a:ext cx="30" cy="10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" name="Line 16">
            <a:extLst>
              <a:ext uri="{FF2B5EF4-FFF2-40B4-BE49-F238E27FC236}">
                <a16:creationId xmlns:a16="http://schemas.microsoft.com/office/drawing/2014/main" id="{00000000-0008-0000-0400-000010000000}"/>
              </a:ext>
            </a:extLst>
          </xdr:cNvPr>
          <xdr:cNvSpPr>
            <a:spLocks noChangeShapeType="1"/>
          </xdr:cNvSpPr>
        </xdr:nvSpPr>
        <xdr:spPr bwMode="auto">
          <a:xfrm>
            <a:off x="864" y="953"/>
            <a:ext cx="0" cy="67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" name="Line 17">
            <a:extLst>
              <a:ext uri="{FF2B5EF4-FFF2-40B4-BE49-F238E27FC236}">
                <a16:creationId xmlns:a16="http://schemas.microsoft.com/office/drawing/2014/main" id="{00000000-0008-0000-0400-000011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09" y="1020"/>
            <a:ext cx="75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" name="Line 18">
            <a:extLst>
              <a:ext uri="{FF2B5EF4-FFF2-40B4-BE49-F238E27FC236}">
                <a16:creationId xmlns:a16="http://schemas.microsoft.com/office/drawing/2014/main" id="{00000000-0008-0000-04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435" y="941"/>
            <a:ext cx="0" cy="7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" name="Line 19">
            <a:extLst>
              <a:ext uri="{FF2B5EF4-FFF2-40B4-BE49-F238E27FC236}">
                <a16:creationId xmlns:a16="http://schemas.microsoft.com/office/drawing/2014/main" id="{00000000-0008-0000-0400-000013000000}"/>
              </a:ext>
            </a:extLst>
          </xdr:cNvPr>
          <xdr:cNvSpPr>
            <a:spLocks noChangeShapeType="1"/>
          </xdr:cNvSpPr>
        </xdr:nvSpPr>
        <xdr:spPr bwMode="auto">
          <a:xfrm>
            <a:off x="504" y="941"/>
            <a:ext cx="0" cy="7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" name="Text Box 20">
            <a:extLst>
              <a:ext uri="{FF2B5EF4-FFF2-40B4-BE49-F238E27FC236}">
                <a16:creationId xmlns:a16="http://schemas.microsoft.com/office/drawing/2014/main" id="{00000000-0008-0000-04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5" y="720"/>
            <a:ext cx="66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Rs</a:t>
            </a:r>
            <a:endParaRPr lang="es-ES"/>
          </a:p>
        </xdr:txBody>
      </xdr:sp>
      <xdr:sp macro="" textlink="">
        <xdr:nvSpPr>
          <xdr:cNvPr id="21" name="Text Box 21">
            <a:extLst>
              <a:ext uri="{FF2B5EF4-FFF2-40B4-BE49-F238E27FC236}">
                <a16:creationId xmlns:a16="http://schemas.microsoft.com/office/drawing/2014/main" id="{00000000-0008-0000-0400-00001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4" y="718"/>
            <a:ext cx="58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Rr</a:t>
            </a:r>
            <a:endParaRPr lang="es-ES"/>
          </a:p>
        </xdr:txBody>
      </xdr:sp>
      <xdr:sp macro="" textlink="">
        <xdr:nvSpPr>
          <xdr:cNvPr id="22" name="Text Box 22">
            <a:extLst>
              <a:ext uri="{FF2B5EF4-FFF2-40B4-BE49-F238E27FC236}">
                <a16:creationId xmlns:a16="http://schemas.microsoft.com/office/drawing/2014/main" id="{00000000-0008-0000-0400-00001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715"/>
            <a:ext cx="62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Ls</a:t>
            </a:r>
            <a:endParaRPr lang="es-ES"/>
          </a:p>
        </xdr:txBody>
      </xdr:sp>
      <xdr:sp macro="" textlink="">
        <xdr:nvSpPr>
          <xdr:cNvPr id="23" name="Text Box 23">
            <a:extLst>
              <a:ext uri="{FF2B5EF4-FFF2-40B4-BE49-F238E27FC236}">
                <a16:creationId xmlns:a16="http://schemas.microsoft.com/office/drawing/2014/main" id="{00000000-0008-0000-0400-00001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9" y="718"/>
            <a:ext cx="58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Lr</a:t>
            </a:r>
            <a:endParaRPr lang="es-ES"/>
          </a:p>
        </xdr:txBody>
      </xdr:sp>
      <xdr:sp macro="" textlink="">
        <xdr:nvSpPr>
          <xdr:cNvPr id="24" name="Text Box 24">
            <a:extLst>
              <a:ext uri="{FF2B5EF4-FFF2-40B4-BE49-F238E27FC236}">
                <a16:creationId xmlns:a16="http://schemas.microsoft.com/office/drawing/2014/main" id="{00000000-0008-0000-0400-00001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8" y="875"/>
            <a:ext cx="62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Lm</a:t>
            </a:r>
            <a:endParaRPr lang="es-ES"/>
          </a:p>
        </xdr:txBody>
      </xdr:sp>
      <xdr:sp macro="" textlink="">
        <xdr:nvSpPr>
          <xdr:cNvPr id="25" name="Text Box 25">
            <a:extLst>
              <a:ext uri="{FF2B5EF4-FFF2-40B4-BE49-F238E27FC236}">
                <a16:creationId xmlns:a16="http://schemas.microsoft.com/office/drawing/2014/main" id="{00000000-0008-0000-0400-00001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7" y="869"/>
            <a:ext cx="63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RFe</a:t>
            </a:r>
            <a:endParaRPr lang="es-ES"/>
          </a:p>
        </xdr:txBody>
      </xdr:sp>
      <xdr:sp macro="" textlink="">
        <xdr:nvSpPr>
          <xdr:cNvPr id="26" name="Line 26">
            <a:extLst>
              <a:ext uri="{FF2B5EF4-FFF2-40B4-BE49-F238E27FC236}">
                <a16:creationId xmlns:a16="http://schemas.microsoft.com/office/drawing/2014/main" id="{00000000-0008-0000-0400-00001A000000}"/>
              </a:ext>
            </a:extLst>
          </xdr:cNvPr>
          <xdr:cNvSpPr>
            <a:spLocks noChangeShapeType="1"/>
          </xdr:cNvSpPr>
        </xdr:nvSpPr>
        <xdr:spPr bwMode="auto">
          <a:xfrm>
            <a:off x="584" y="860"/>
            <a:ext cx="0" cy="91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7" name="Text Box 27">
            <a:extLst>
              <a:ext uri="{FF2B5EF4-FFF2-40B4-BE49-F238E27FC236}">
                <a16:creationId xmlns:a16="http://schemas.microsoft.com/office/drawing/2014/main" id="{00000000-0008-0000-0400-00001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6" y="874"/>
            <a:ext cx="63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Im</a:t>
            </a:r>
            <a:endParaRPr lang="es-ES"/>
          </a:p>
        </xdr:txBody>
      </xdr:sp>
      <xdr:sp macro="" textlink="">
        <xdr:nvSpPr>
          <xdr:cNvPr id="28" name="Line 28">
            <a:extLst>
              <a:ext uri="{FF2B5EF4-FFF2-40B4-BE49-F238E27FC236}">
                <a16:creationId xmlns:a16="http://schemas.microsoft.com/office/drawing/2014/main" id="{00000000-0008-0000-0400-00001C000000}"/>
              </a:ext>
            </a:extLst>
          </xdr:cNvPr>
          <xdr:cNvSpPr>
            <a:spLocks noChangeShapeType="1"/>
          </xdr:cNvSpPr>
        </xdr:nvSpPr>
        <xdr:spPr bwMode="auto">
          <a:xfrm>
            <a:off x="142" y="816"/>
            <a:ext cx="122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" name="Text Box 29">
            <a:extLst>
              <a:ext uri="{FF2B5EF4-FFF2-40B4-BE49-F238E27FC236}">
                <a16:creationId xmlns:a16="http://schemas.microsoft.com/office/drawing/2014/main" id="{00000000-0008-0000-0400-00001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0" y="823"/>
            <a:ext cx="57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Is</a:t>
            </a:r>
            <a:endParaRPr lang="es-ES"/>
          </a:p>
        </xdr:txBody>
      </xdr:sp>
      <xdr:sp macro="" textlink="">
        <xdr:nvSpPr>
          <xdr:cNvPr id="30" name="Line 30">
            <a:extLst>
              <a:ext uri="{FF2B5EF4-FFF2-40B4-BE49-F238E27FC236}">
                <a16:creationId xmlns:a16="http://schemas.microsoft.com/office/drawing/2014/main" id="{00000000-0008-0000-0400-00001E000000}"/>
              </a:ext>
            </a:extLst>
          </xdr:cNvPr>
          <xdr:cNvSpPr>
            <a:spLocks noChangeShapeType="1"/>
          </xdr:cNvSpPr>
        </xdr:nvSpPr>
        <xdr:spPr bwMode="auto">
          <a:xfrm>
            <a:off x="99" y="788"/>
            <a:ext cx="0" cy="21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" name="Text Box 31">
            <a:extLst>
              <a:ext uri="{FF2B5EF4-FFF2-40B4-BE49-F238E27FC236}">
                <a16:creationId xmlns:a16="http://schemas.microsoft.com/office/drawing/2014/main" id="{00000000-0008-0000-0400-00001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" y="872"/>
            <a:ext cx="63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32004" rIns="0" bIns="0" anchor="t" upright="1"/>
          <a:lstStyle/>
          <a:p>
            <a:pPr algn="l" rtl="0">
              <a:defRPr sz="1000"/>
            </a:pPr>
            <a:r>
              <a:rPr lang="es-ES" sz="1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Vs</a:t>
            </a:r>
            <a:endParaRPr lang="es-ES"/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1</xdr:row>
          <xdr:rowOff>142875</xdr:rowOff>
        </xdr:from>
        <xdr:to>
          <xdr:col>1</xdr:col>
          <xdr:colOff>723900</xdr:colOff>
          <xdr:row>4</xdr:row>
          <xdr:rowOff>76200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.bin"/><Relationship Id="rId3" Type="http://schemas.openxmlformats.org/officeDocument/2006/relationships/vmlDrawing" Target="../drawings/vmlDrawing2.vml"/><Relationship Id="rId7" Type="http://schemas.openxmlformats.org/officeDocument/2006/relationships/oleObject" Target="../embeddings/oleObject4.bin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3.bin"/><Relationship Id="rId5" Type="http://schemas.openxmlformats.org/officeDocument/2006/relationships/image" Target="../media/image1.emf"/><Relationship Id="rId10" Type="http://schemas.openxmlformats.org/officeDocument/2006/relationships/comments" Target="../comments1.xml"/><Relationship Id="rId4" Type="http://schemas.openxmlformats.org/officeDocument/2006/relationships/oleObject" Target="../embeddings/oleObject2.bin"/><Relationship Id="rId9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6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0.bin"/><Relationship Id="rId3" Type="http://schemas.openxmlformats.org/officeDocument/2006/relationships/vmlDrawing" Target="../drawings/vmlDrawing4.vml"/><Relationship Id="rId7" Type="http://schemas.openxmlformats.org/officeDocument/2006/relationships/oleObject" Target="../embeddings/oleObject9.bin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8.bin"/><Relationship Id="rId5" Type="http://schemas.openxmlformats.org/officeDocument/2006/relationships/image" Target="../media/image1.emf"/><Relationship Id="rId10" Type="http://schemas.openxmlformats.org/officeDocument/2006/relationships/comments" Target="../comments2.xml"/><Relationship Id="rId4" Type="http://schemas.openxmlformats.org/officeDocument/2006/relationships/oleObject" Target="../embeddings/oleObject7.bin"/><Relationship Id="rId9" Type="http://schemas.openxmlformats.org/officeDocument/2006/relationships/ctrlProp" Target="../ctrlProps/ctrlProp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O35"/>
  <sheetViews>
    <sheetView zoomScale="110" zoomScaleNormal="110" zoomScaleSheetLayoutView="100" workbookViewId="0">
      <pane xSplit="1" ySplit="9" topLeftCell="B10" activePane="bottomRight" state="frozen"/>
      <selection activeCell="O39" sqref="O39"/>
      <selection pane="topRight" activeCell="O39" sqref="O39"/>
      <selection pane="bottomLeft" activeCell="O39" sqref="O39"/>
      <selection pane="bottomRight" activeCell="B22" sqref="B22"/>
    </sheetView>
  </sheetViews>
  <sheetFormatPr defaultColWidth="9.85546875" defaultRowHeight="15" customHeight="1"/>
  <cols>
    <col min="1" max="1" width="35.5703125" style="63" customWidth="1"/>
    <col min="2" max="3" width="15.7109375" style="65" customWidth="1"/>
    <col min="4" max="13" width="16.7109375" style="65" customWidth="1"/>
    <col min="14" max="15" width="16.7109375" style="5" customWidth="1"/>
    <col min="16" max="245" width="9.85546875" style="5"/>
    <col min="246" max="246" width="35.5703125" style="5" customWidth="1"/>
    <col min="247" max="258" width="15.7109375" style="5" customWidth="1"/>
    <col min="259" max="259" width="9.85546875" style="5"/>
    <col min="260" max="261" width="15.7109375" style="5" customWidth="1"/>
    <col min="262" max="501" width="9.85546875" style="5"/>
    <col min="502" max="502" width="35.5703125" style="5" customWidth="1"/>
    <col min="503" max="514" width="15.7109375" style="5" customWidth="1"/>
    <col min="515" max="515" width="9.85546875" style="5"/>
    <col min="516" max="517" width="15.7109375" style="5" customWidth="1"/>
    <col min="518" max="757" width="9.85546875" style="5"/>
    <col min="758" max="758" width="35.5703125" style="5" customWidth="1"/>
    <col min="759" max="770" width="15.7109375" style="5" customWidth="1"/>
    <col min="771" max="771" width="9.85546875" style="5"/>
    <col min="772" max="773" width="15.7109375" style="5" customWidth="1"/>
    <col min="774" max="1013" width="9.85546875" style="5"/>
    <col min="1014" max="1014" width="35.5703125" style="5" customWidth="1"/>
    <col min="1015" max="1026" width="15.7109375" style="5" customWidth="1"/>
    <col min="1027" max="1027" width="9.85546875" style="5"/>
    <col min="1028" max="1029" width="15.7109375" style="5" customWidth="1"/>
    <col min="1030" max="1269" width="9.85546875" style="5"/>
    <col min="1270" max="1270" width="35.5703125" style="5" customWidth="1"/>
    <col min="1271" max="1282" width="15.7109375" style="5" customWidth="1"/>
    <col min="1283" max="1283" width="9.85546875" style="5"/>
    <col min="1284" max="1285" width="15.7109375" style="5" customWidth="1"/>
    <col min="1286" max="1525" width="9.85546875" style="5"/>
    <col min="1526" max="1526" width="35.5703125" style="5" customWidth="1"/>
    <col min="1527" max="1538" width="15.7109375" style="5" customWidth="1"/>
    <col min="1539" max="1539" width="9.85546875" style="5"/>
    <col min="1540" max="1541" width="15.7109375" style="5" customWidth="1"/>
    <col min="1542" max="1781" width="9.85546875" style="5"/>
    <col min="1782" max="1782" width="35.5703125" style="5" customWidth="1"/>
    <col min="1783" max="1794" width="15.7109375" style="5" customWidth="1"/>
    <col min="1795" max="1795" width="9.85546875" style="5"/>
    <col min="1796" max="1797" width="15.7109375" style="5" customWidth="1"/>
    <col min="1798" max="2037" width="9.85546875" style="5"/>
    <col min="2038" max="2038" width="35.5703125" style="5" customWidth="1"/>
    <col min="2039" max="2050" width="15.7109375" style="5" customWidth="1"/>
    <col min="2051" max="2051" width="9.85546875" style="5"/>
    <col min="2052" max="2053" width="15.7109375" style="5" customWidth="1"/>
    <col min="2054" max="2293" width="9.85546875" style="5"/>
    <col min="2294" max="2294" width="35.5703125" style="5" customWidth="1"/>
    <col min="2295" max="2306" width="15.7109375" style="5" customWidth="1"/>
    <col min="2307" max="2307" width="9.85546875" style="5"/>
    <col min="2308" max="2309" width="15.7109375" style="5" customWidth="1"/>
    <col min="2310" max="2549" width="9.85546875" style="5"/>
    <col min="2550" max="2550" width="35.5703125" style="5" customWidth="1"/>
    <col min="2551" max="2562" width="15.7109375" style="5" customWidth="1"/>
    <col min="2563" max="2563" width="9.85546875" style="5"/>
    <col min="2564" max="2565" width="15.7109375" style="5" customWidth="1"/>
    <col min="2566" max="2805" width="9.85546875" style="5"/>
    <col min="2806" max="2806" width="35.5703125" style="5" customWidth="1"/>
    <col min="2807" max="2818" width="15.7109375" style="5" customWidth="1"/>
    <col min="2819" max="2819" width="9.85546875" style="5"/>
    <col min="2820" max="2821" width="15.7109375" style="5" customWidth="1"/>
    <col min="2822" max="3061" width="9.85546875" style="5"/>
    <col min="3062" max="3062" width="35.5703125" style="5" customWidth="1"/>
    <col min="3063" max="3074" width="15.7109375" style="5" customWidth="1"/>
    <col min="3075" max="3075" width="9.85546875" style="5"/>
    <col min="3076" max="3077" width="15.7109375" style="5" customWidth="1"/>
    <col min="3078" max="3317" width="9.85546875" style="5"/>
    <col min="3318" max="3318" width="35.5703125" style="5" customWidth="1"/>
    <col min="3319" max="3330" width="15.7109375" style="5" customWidth="1"/>
    <col min="3331" max="3331" width="9.85546875" style="5"/>
    <col min="3332" max="3333" width="15.7109375" style="5" customWidth="1"/>
    <col min="3334" max="3573" width="9.85546875" style="5"/>
    <col min="3574" max="3574" width="35.5703125" style="5" customWidth="1"/>
    <col min="3575" max="3586" width="15.7109375" style="5" customWidth="1"/>
    <col min="3587" max="3587" width="9.85546875" style="5"/>
    <col min="3588" max="3589" width="15.7109375" style="5" customWidth="1"/>
    <col min="3590" max="3829" width="9.85546875" style="5"/>
    <col min="3830" max="3830" width="35.5703125" style="5" customWidth="1"/>
    <col min="3831" max="3842" width="15.7109375" style="5" customWidth="1"/>
    <col min="3843" max="3843" width="9.85546875" style="5"/>
    <col min="3844" max="3845" width="15.7109375" style="5" customWidth="1"/>
    <col min="3846" max="4085" width="9.85546875" style="5"/>
    <col min="4086" max="4086" width="35.5703125" style="5" customWidth="1"/>
    <col min="4087" max="4098" width="15.7109375" style="5" customWidth="1"/>
    <col min="4099" max="4099" width="9.85546875" style="5"/>
    <col min="4100" max="4101" width="15.7109375" style="5" customWidth="1"/>
    <col min="4102" max="4341" width="9.85546875" style="5"/>
    <col min="4342" max="4342" width="35.5703125" style="5" customWidth="1"/>
    <col min="4343" max="4354" width="15.7109375" style="5" customWidth="1"/>
    <col min="4355" max="4355" width="9.85546875" style="5"/>
    <col min="4356" max="4357" width="15.7109375" style="5" customWidth="1"/>
    <col min="4358" max="4597" width="9.85546875" style="5"/>
    <col min="4598" max="4598" width="35.5703125" style="5" customWidth="1"/>
    <col min="4599" max="4610" width="15.7109375" style="5" customWidth="1"/>
    <col min="4611" max="4611" width="9.85546875" style="5"/>
    <col min="4612" max="4613" width="15.7109375" style="5" customWidth="1"/>
    <col min="4614" max="4853" width="9.85546875" style="5"/>
    <col min="4854" max="4854" width="35.5703125" style="5" customWidth="1"/>
    <col min="4855" max="4866" width="15.7109375" style="5" customWidth="1"/>
    <col min="4867" max="4867" width="9.85546875" style="5"/>
    <col min="4868" max="4869" width="15.7109375" style="5" customWidth="1"/>
    <col min="4870" max="5109" width="9.85546875" style="5"/>
    <col min="5110" max="5110" width="35.5703125" style="5" customWidth="1"/>
    <col min="5111" max="5122" width="15.7109375" style="5" customWidth="1"/>
    <col min="5123" max="5123" width="9.85546875" style="5"/>
    <col min="5124" max="5125" width="15.7109375" style="5" customWidth="1"/>
    <col min="5126" max="5365" width="9.85546875" style="5"/>
    <col min="5366" max="5366" width="35.5703125" style="5" customWidth="1"/>
    <col min="5367" max="5378" width="15.7109375" style="5" customWidth="1"/>
    <col min="5379" max="5379" width="9.85546875" style="5"/>
    <col min="5380" max="5381" width="15.7109375" style="5" customWidth="1"/>
    <col min="5382" max="5621" width="9.85546875" style="5"/>
    <col min="5622" max="5622" width="35.5703125" style="5" customWidth="1"/>
    <col min="5623" max="5634" width="15.7109375" style="5" customWidth="1"/>
    <col min="5635" max="5635" width="9.85546875" style="5"/>
    <col min="5636" max="5637" width="15.7109375" style="5" customWidth="1"/>
    <col min="5638" max="5877" width="9.85546875" style="5"/>
    <col min="5878" max="5878" width="35.5703125" style="5" customWidth="1"/>
    <col min="5879" max="5890" width="15.7109375" style="5" customWidth="1"/>
    <col min="5891" max="5891" width="9.85546875" style="5"/>
    <col min="5892" max="5893" width="15.7109375" style="5" customWidth="1"/>
    <col min="5894" max="6133" width="9.85546875" style="5"/>
    <col min="6134" max="6134" width="35.5703125" style="5" customWidth="1"/>
    <col min="6135" max="6146" width="15.7109375" style="5" customWidth="1"/>
    <col min="6147" max="6147" width="9.85546875" style="5"/>
    <col min="6148" max="6149" width="15.7109375" style="5" customWidth="1"/>
    <col min="6150" max="6389" width="9.85546875" style="5"/>
    <col min="6390" max="6390" width="35.5703125" style="5" customWidth="1"/>
    <col min="6391" max="6402" width="15.7109375" style="5" customWidth="1"/>
    <col min="6403" max="6403" width="9.85546875" style="5"/>
    <col min="6404" max="6405" width="15.7109375" style="5" customWidth="1"/>
    <col min="6406" max="6645" width="9.85546875" style="5"/>
    <col min="6646" max="6646" width="35.5703125" style="5" customWidth="1"/>
    <col min="6647" max="6658" width="15.7109375" style="5" customWidth="1"/>
    <col min="6659" max="6659" width="9.85546875" style="5"/>
    <col min="6660" max="6661" width="15.7109375" style="5" customWidth="1"/>
    <col min="6662" max="6901" width="9.85546875" style="5"/>
    <col min="6902" max="6902" width="35.5703125" style="5" customWidth="1"/>
    <col min="6903" max="6914" width="15.7109375" style="5" customWidth="1"/>
    <col min="6915" max="6915" width="9.85546875" style="5"/>
    <col min="6916" max="6917" width="15.7109375" style="5" customWidth="1"/>
    <col min="6918" max="7157" width="9.85546875" style="5"/>
    <col min="7158" max="7158" width="35.5703125" style="5" customWidth="1"/>
    <col min="7159" max="7170" width="15.7109375" style="5" customWidth="1"/>
    <col min="7171" max="7171" width="9.85546875" style="5"/>
    <col min="7172" max="7173" width="15.7109375" style="5" customWidth="1"/>
    <col min="7174" max="7413" width="9.85546875" style="5"/>
    <col min="7414" max="7414" width="35.5703125" style="5" customWidth="1"/>
    <col min="7415" max="7426" width="15.7109375" style="5" customWidth="1"/>
    <col min="7427" max="7427" width="9.85546875" style="5"/>
    <col min="7428" max="7429" width="15.7109375" style="5" customWidth="1"/>
    <col min="7430" max="7669" width="9.85546875" style="5"/>
    <col min="7670" max="7670" width="35.5703125" style="5" customWidth="1"/>
    <col min="7671" max="7682" width="15.7109375" style="5" customWidth="1"/>
    <col min="7683" max="7683" width="9.85546875" style="5"/>
    <col min="7684" max="7685" width="15.7109375" style="5" customWidth="1"/>
    <col min="7686" max="7925" width="9.85546875" style="5"/>
    <col min="7926" max="7926" width="35.5703125" style="5" customWidth="1"/>
    <col min="7927" max="7938" width="15.7109375" style="5" customWidth="1"/>
    <col min="7939" max="7939" width="9.85546875" style="5"/>
    <col min="7940" max="7941" width="15.7109375" style="5" customWidth="1"/>
    <col min="7942" max="8181" width="9.85546875" style="5"/>
    <col min="8182" max="8182" width="35.5703125" style="5" customWidth="1"/>
    <col min="8183" max="8194" width="15.7109375" style="5" customWidth="1"/>
    <col min="8195" max="8195" width="9.85546875" style="5"/>
    <col min="8196" max="8197" width="15.7109375" style="5" customWidth="1"/>
    <col min="8198" max="8437" width="9.85546875" style="5"/>
    <col min="8438" max="8438" width="35.5703125" style="5" customWidth="1"/>
    <col min="8439" max="8450" width="15.7109375" style="5" customWidth="1"/>
    <col min="8451" max="8451" width="9.85546875" style="5"/>
    <col min="8452" max="8453" width="15.7109375" style="5" customWidth="1"/>
    <col min="8454" max="8693" width="9.85546875" style="5"/>
    <col min="8694" max="8694" width="35.5703125" style="5" customWidth="1"/>
    <col min="8695" max="8706" width="15.7109375" style="5" customWidth="1"/>
    <col min="8707" max="8707" width="9.85546875" style="5"/>
    <col min="8708" max="8709" width="15.7109375" style="5" customWidth="1"/>
    <col min="8710" max="8949" width="9.85546875" style="5"/>
    <col min="8950" max="8950" width="35.5703125" style="5" customWidth="1"/>
    <col min="8951" max="8962" width="15.7109375" style="5" customWidth="1"/>
    <col min="8963" max="8963" width="9.85546875" style="5"/>
    <col min="8964" max="8965" width="15.7109375" style="5" customWidth="1"/>
    <col min="8966" max="9205" width="9.85546875" style="5"/>
    <col min="9206" max="9206" width="35.5703125" style="5" customWidth="1"/>
    <col min="9207" max="9218" width="15.7109375" style="5" customWidth="1"/>
    <col min="9219" max="9219" width="9.85546875" style="5"/>
    <col min="9220" max="9221" width="15.7109375" style="5" customWidth="1"/>
    <col min="9222" max="9461" width="9.85546875" style="5"/>
    <col min="9462" max="9462" width="35.5703125" style="5" customWidth="1"/>
    <col min="9463" max="9474" width="15.7109375" style="5" customWidth="1"/>
    <col min="9475" max="9475" width="9.85546875" style="5"/>
    <col min="9476" max="9477" width="15.7109375" style="5" customWidth="1"/>
    <col min="9478" max="9717" width="9.85546875" style="5"/>
    <col min="9718" max="9718" width="35.5703125" style="5" customWidth="1"/>
    <col min="9719" max="9730" width="15.7109375" style="5" customWidth="1"/>
    <col min="9731" max="9731" width="9.85546875" style="5"/>
    <col min="9732" max="9733" width="15.7109375" style="5" customWidth="1"/>
    <col min="9734" max="9973" width="9.85546875" style="5"/>
    <col min="9974" max="9974" width="35.5703125" style="5" customWidth="1"/>
    <col min="9975" max="9986" width="15.7109375" style="5" customWidth="1"/>
    <col min="9987" max="9987" width="9.85546875" style="5"/>
    <col min="9988" max="9989" width="15.7109375" style="5" customWidth="1"/>
    <col min="9990" max="10229" width="9.85546875" style="5"/>
    <col min="10230" max="10230" width="35.5703125" style="5" customWidth="1"/>
    <col min="10231" max="10242" width="15.7109375" style="5" customWidth="1"/>
    <col min="10243" max="10243" width="9.85546875" style="5"/>
    <col min="10244" max="10245" width="15.7109375" style="5" customWidth="1"/>
    <col min="10246" max="10485" width="9.85546875" style="5"/>
    <col min="10486" max="10486" width="35.5703125" style="5" customWidth="1"/>
    <col min="10487" max="10498" width="15.7109375" style="5" customWidth="1"/>
    <col min="10499" max="10499" width="9.85546875" style="5"/>
    <col min="10500" max="10501" width="15.7109375" style="5" customWidth="1"/>
    <col min="10502" max="10741" width="9.85546875" style="5"/>
    <col min="10742" max="10742" width="35.5703125" style="5" customWidth="1"/>
    <col min="10743" max="10754" width="15.7109375" style="5" customWidth="1"/>
    <col min="10755" max="10755" width="9.85546875" style="5"/>
    <col min="10756" max="10757" width="15.7109375" style="5" customWidth="1"/>
    <col min="10758" max="10997" width="9.85546875" style="5"/>
    <col min="10998" max="10998" width="35.5703125" style="5" customWidth="1"/>
    <col min="10999" max="11010" width="15.7109375" style="5" customWidth="1"/>
    <col min="11011" max="11011" width="9.85546875" style="5"/>
    <col min="11012" max="11013" width="15.7109375" style="5" customWidth="1"/>
    <col min="11014" max="11253" width="9.85546875" style="5"/>
    <col min="11254" max="11254" width="35.5703125" style="5" customWidth="1"/>
    <col min="11255" max="11266" width="15.7109375" style="5" customWidth="1"/>
    <col min="11267" max="11267" width="9.85546875" style="5"/>
    <col min="11268" max="11269" width="15.7109375" style="5" customWidth="1"/>
    <col min="11270" max="11509" width="9.85546875" style="5"/>
    <col min="11510" max="11510" width="35.5703125" style="5" customWidth="1"/>
    <col min="11511" max="11522" width="15.7109375" style="5" customWidth="1"/>
    <col min="11523" max="11523" width="9.85546875" style="5"/>
    <col min="11524" max="11525" width="15.7109375" style="5" customWidth="1"/>
    <col min="11526" max="11765" width="9.85546875" style="5"/>
    <col min="11766" max="11766" width="35.5703125" style="5" customWidth="1"/>
    <col min="11767" max="11778" width="15.7109375" style="5" customWidth="1"/>
    <col min="11779" max="11779" width="9.85546875" style="5"/>
    <col min="11780" max="11781" width="15.7109375" style="5" customWidth="1"/>
    <col min="11782" max="12021" width="9.85546875" style="5"/>
    <col min="12022" max="12022" width="35.5703125" style="5" customWidth="1"/>
    <col min="12023" max="12034" width="15.7109375" style="5" customWidth="1"/>
    <col min="12035" max="12035" width="9.85546875" style="5"/>
    <col min="12036" max="12037" width="15.7109375" style="5" customWidth="1"/>
    <col min="12038" max="12277" width="9.85546875" style="5"/>
    <col min="12278" max="12278" width="35.5703125" style="5" customWidth="1"/>
    <col min="12279" max="12290" width="15.7109375" style="5" customWidth="1"/>
    <col min="12291" max="12291" width="9.85546875" style="5"/>
    <col min="12292" max="12293" width="15.7109375" style="5" customWidth="1"/>
    <col min="12294" max="12533" width="9.85546875" style="5"/>
    <col min="12534" max="12534" width="35.5703125" style="5" customWidth="1"/>
    <col min="12535" max="12546" width="15.7109375" style="5" customWidth="1"/>
    <col min="12547" max="12547" width="9.85546875" style="5"/>
    <col min="12548" max="12549" width="15.7109375" style="5" customWidth="1"/>
    <col min="12550" max="12789" width="9.85546875" style="5"/>
    <col min="12790" max="12790" width="35.5703125" style="5" customWidth="1"/>
    <col min="12791" max="12802" width="15.7109375" style="5" customWidth="1"/>
    <col min="12803" max="12803" width="9.85546875" style="5"/>
    <col min="12804" max="12805" width="15.7109375" style="5" customWidth="1"/>
    <col min="12806" max="13045" width="9.85546875" style="5"/>
    <col min="13046" max="13046" width="35.5703125" style="5" customWidth="1"/>
    <col min="13047" max="13058" width="15.7109375" style="5" customWidth="1"/>
    <col min="13059" max="13059" width="9.85546875" style="5"/>
    <col min="13060" max="13061" width="15.7109375" style="5" customWidth="1"/>
    <col min="13062" max="13301" width="9.85546875" style="5"/>
    <col min="13302" max="13302" width="35.5703125" style="5" customWidth="1"/>
    <col min="13303" max="13314" width="15.7109375" style="5" customWidth="1"/>
    <col min="13315" max="13315" width="9.85546875" style="5"/>
    <col min="13316" max="13317" width="15.7109375" style="5" customWidth="1"/>
    <col min="13318" max="13557" width="9.85546875" style="5"/>
    <col min="13558" max="13558" width="35.5703125" style="5" customWidth="1"/>
    <col min="13559" max="13570" width="15.7109375" style="5" customWidth="1"/>
    <col min="13571" max="13571" width="9.85546875" style="5"/>
    <col min="13572" max="13573" width="15.7109375" style="5" customWidth="1"/>
    <col min="13574" max="13813" width="9.85546875" style="5"/>
    <col min="13814" max="13814" width="35.5703125" style="5" customWidth="1"/>
    <col min="13815" max="13826" width="15.7109375" style="5" customWidth="1"/>
    <col min="13827" max="13827" width="9.85546875" style="5"/>
    <col min="13828" max="13829" width="15.7109375" style="5" customWidth="1"/>
    <col min="13830" max="14069" width="9.85546875" style="5"/>
    <col min="14070" max="14070" width="35.5703125" style="5" customWidth="1"/>
    <col min="14071" max="14082" width="15.7109375" style="5" customWidth="1"/>
    <col min="14083" max="14083" width="9.85546875" style="5"/>
    <col min="14084" max="14085" width="15.7109375" style="5" customWidth="1"/>
    <col min="14086" max="14325" width="9.85546875" style="5"/>
    <col min="14326" max="14326" width="35.5703125" style="5" customWidth="1"/>
    <col min="14327" max="14338" width="15.7109375" style="5" customWidth="1"/>
    <col min="14339" max="14339" width="9.85546875" style="5"/>
    <col min="14340" max="14341" width="15.7109375" style="5" customWidth="1"/>
    <col min="14342" max="14581" width="9.85546875" style="5"/>
    <col min="14582" max="14582" width="35.5703125" style="5" customWidth="1"/>
    <col min="14583" max="14594" width="15.7109375" style="5" customWidth="1"/>
    <col min="14595" max="14595" width="9.85546875" style="5"/>
    <col min="14596" max="14597" width="15.7109375" style="5" customWidth="1"/>
    <col min="14598" max="14837" width="9.85546875" style="5"/>
    <col min="14838" max="14838" width="35.5703125" style="5" customWidth="1"/>
    <col min="14839" max="14850" width="15.7109375" style="5" customWidth="1"/>
    <col min="14851" max="14851" width="9.85546875" style="5"/>
    <col min="14852" max="14853" width="15.7109375" style="5" customWidth="1"/>
    <col min="14854" max="15093" width="9.85546875" style="5"/>
    <col min="15094" max="15094" width="35.5703125" style="5" customWidth="1"/>
    <col min="15095" max="15106" width="15.7109375" style="5" customWidth="1"/>
    <col min="15107" max="15107" width="9.85546875" style="5"/>
    <col min="15108" max="15109" width="15.7109375" style="5" customWidth="1"/>
    <col min="15110" max="15349" width="9.85546875" style="5"/>
    <col min="15350" max="15350" width="35.5703125" style="5" customWidth="1"/>
    <col min="15351" max="15362" width="15.7109375" style="5" customWidth="1"/>
    <col min="15363" max="15363" width="9.85546875" style="5"/>
    <col min="15364" max="15365" width="15.7109375" style="5" customWidth="1"/>
    <col min="15366" max="15605" width="9.85546875" style="5"/>
    <col min="15606" max="15606" width="35.5703125" style="5" customWidth="1"/>
    <col min="15607" max="15618" width="15.7109375" style="5" customWidth="1"/>
    <col min="15619" max="15619" width="9.85546875" style="5"/>
    <col min="15620" max="15621" width="15.7109375" style="5" customWidth="1"/>
    <col min="15622" max="15861" width="9.85546875" style="5"/>
    <col min="15862" max="15862" width="35.5703125" style="5" customWidth="1"/>
    <col min="15863" max="15874" width="15.7109375" style="5" customWidth="1"/>
    <col min="15875" max="15875" width="9.85546875" style="5"/>
    <col min="15876" max="15877" width="15.7109375" style="5" customWidth="1"/>
    <col min="15878" max="16117" width="9.85546875" style="5"/>
    <col min="16118" max="16118" width="35.5703125" style="5" customWidth="1"/>
    <col min="16119" max="16130" width="15.7109375" style="5" customWidth="1"/>
    <col min="16131" max="16131" width="9.85546875" style="5"/>
    <col min="16132" max="16133" width="15.7109375" style="5" customWidth="1"/>
    <col min="16134" max="16384" width="9.85546875" style="5"/>
  </cols>
  <sheetData>
    <row r="1" spans="1:15" ht="19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3"/>
      <c r="O1" s="4"/>
    </row>
    <row r="2" spans="1:15" ht="20.100000000000001" customHeight="1">
      <c r="A2" s="6"/>
      <c r="B2" s="7"/>
      <c r="C2" s="446"/>
      <c r="D2" s="446"/>
      <c r="E2" s="445"/>
      <c r="F2" s="445"/>
      <c r="G2" s="446" t="str">
        <f>B21</f>
        <v>MAC QT 315 L</v>
      </c>
      <c r="H2" s="446"/>
      <c r="I2" s="445"/>
      <c r="J2" s="445"/>
      <c r="K2" s="445"/>
      <c r="L2" s="445"/>
      <c r="M2" s="8"/>
      <c r="N2" s="9" t="s">
        <v>0</v>
      </c>
      <c r="O2" s="10" t="s">
        <v>242</v>
      </c>
    </row>
    <row r="3" spans="1:15" ht="20.100000000000001" customHeight="1">
      <c r="A3" s="6"/>
      <c r="B3" s="11"/>
      <c r="C3" s="445"/>
      <c r="D3" s="445"/>
      <c r="E3" s="445"/>
      <c r="F3" s="445"/>
      <c r="G3" s="447"/>
      <c r="H3" s="445"/>
      <c r="I3" s="445"/>
      <c r="J3" s="445"/>
      <c r="K3" s="445"/>
      <c r="L3" s="445"/>
      <c r="M3" s="8"/>
      <c r="N3" s="9" t="s">
        <v>1</v>
      </c>
      <c r="O3" s="12" t="s">
        <v>243</v>
      </c>
    </row>
    <row r="4" spans="1:15" ht="20.100000000000001" customHeight="1">
      <c r="A4" s="6"/>
      <c r="B4" s="13"/>
      <c r="C4" s="448"/>
      <c r="D4" s="448"/>
      <c r="E4" s="445"/>
      <c r="F4" s="445"/>
      <c r="G4" s="448" t="s">
        <v>2</v>
      </c>
      <c r="H4" s="448"/>
      <c r="I4" s="445"/>
      <c r="J4" s="445"/>
      <c r="K4" s="445"/>
      <c r="L4" s="445"/>
      <c r="M4" s="8"/>
      <c r="N4" s="9" t="s">
        <v>3</v>
      </c>
      <c r="O4" s="10" t="s">
        <v>4</v>
      </c>
    </row>
    <row r="5" spans="1:15" ht="20.100000000000001" customHeight="1">
      <c r="A5" s="6"/>
      <c r="B5" s="11"/>
      <c r="C5" s="445"/>
      <c r="D5" s="445"/>
      <c r="E5" s="445"/>
      <c r="F5" s="445"/>
      <c r="G5" s="445"/>
      <c r="H5" s="445"/>
      <c r="I5" s="445"/>
      <c r="J5" s="445"/>
      <c r="K5" s="445"/>
      <c r="L5" s="445"/>
      <c r="M5" s="8"/>
      <c r="N5" s="9" t="s">
        <v>5</v>
      </c>
      <c r="O5" s="14">
        <v>45239</v>
      </c>
    </row>
    <row r="6" spans="1:15" ht="20.100000000000001" customHeight="1" thickBot="1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  <c r="N6" s="17"/>
      <c r="O6" s="18"/>
    </row>
    <row r="7" spans="1:15" ht="15" customHeight="1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5" s="23" customFormat="1" ht="15" customHeight="1">
      <c r="A8" s="21"/>
      <c r="B8" s="22" t="str">
        <f t="shared" ref="B8:K9" si="0">B21</f>
        <v>MAC QT 315 L</v>
      </c>
      <c r="C8" s="22" t="str">
        <f t="shared" si="0"/>
        <v>MAC QI 315 L</v>
      </c>
      <c r="D8" s="22" t="str">
        <f t="shared" si="0"/>
        <v>MAC QI 315 L</v>
      </c>
      <c r="E8" s="22" t="str">
        <f t="shared" si="0"/>
        <v>MAC QI 315 L</v>
      </c>
      <c r="F8" s="22" t="str">
        <f t="shared" si="0"/>
        <v>MAC QI 315 L</v>
      </c>
      <c r="G8" s="22" t="str">
        <f t="shared" si="0"/>
        <v>MAC QI 315 L</v>
      </c>
      <c r="H8" s="22" t="str">
        <f t="shared" si="0"/>
        <v>MAC QI 315 L</v>
      </c>
      <c r="I8" s="22" t="str">
        <f t="shared" si="0"/>
        <v>MAC QI 315 L</v>
      </c>
      <c r="J8" s="22" t="str">
        <f t="shared" si="0"/>
        <v>MAC QI 315 L</v>
      </c>
      <c r="K8" s="22" t="str">
        <f t="shared" si="0"/>
        <v>MAC QI 315 L</v>
      </c>
      <c r="L8" s="22">
        <f>L21</f>
        <v>0</v>
      </c>
      <c r="M8" s="22">
        <f>M21</f>
        <v>0</v>
      </c>
      <c r="N8" s="22">
        <f t="shared" ref="N8:O8" si="1">N21</f>
        <v>0</v>
      </c>
      <c r="O8" s="22">
        <f t="shared" si="1"/>
        <v>0</v>
      </c>
    </row>
    <row r="9" spans="1:15" s="26" customFormat="1" ht="15" customHeight="1">
      <c r="A9" s="24"/>
      <c r="B9" s="366" t="str">
        <f t="shared" si="0"/>
        <v>A61</v>
      </c>
      <c r="C9" s="366" t="str">
        <f t="shared" si="0"/>
        <v>B61</v>
      </c>
      <c r="D9" s="366" t="str">
        <f t="shared" si="0"/>
        <v>C61</v>
      </c>
      <c r="E9" s="366" t="str">
        <f t="shared" si="0"/>
        <v>D61</v>
      </c>
      <c r="F9" s="366" t="str">
        <f t="shared" si="0"/>
        <v>E61</v>
      </c>
      <c r="G9" s="366" t="str">
        <f t="shared" si="0"/>
        <v>F61</v>
      </c>
      <c r="H9" s="366" t="str">
        <f t="shared" si="0"/>
        <v>C62</v>
      </c>
      <c r="I9" s="366" t="str">
        <f t="shared" si="0"/>
        <v>D62</v>
      </c>
      <c r="J9" s="366" t="str">
        <f t="shared" si="0"/>
        <v>E62</v>
      </c>
      <c r="K9" s="366" t="str">
        <f t="shared" si="0"/>
        <v>F62</v>
      </c>
      <c r="L9" s="366">
        <f>L22</f>
        <v>0</v>
      </c>
      <c r="M9" s="366">
        <f>M22</f>
        <v>0</v>
      </c>
      <c r="N9" s="366">
        <f t="shared" ref="N9:O9" si="2">N22</f>
        <v>0</v>
      </c>
      <c r="O9" s="366">
        <f t="shared" si="2"/>
        <v>0</v>
      </c>
    </row>
    <row r="10" spans="1:15" s="23" customFormat="1" ht="15" customHeight="1">
      <c r="A10" s="27" t="s">
        <v>6</v>
      </c>
      <c r="B10" s="363">
        <v>6</v>
      </c>
      <c r="C10" s="363">
        <f>B10</f>
        <v>6</v>
      </c>
      <c r="D10" s="363">
        <f t="shared" ref="D10:M10" si="3">C10</f>
        <v>6</v>
      </c>
      <c r="E10" s="363">
        <f t="shared" si="3"/>
        <v>6</v>
      </c>
      <c r="F10" s="363">
        <f t="shared" si="3"/>
        <v>6</v>
      </c>
      <c r="G10" s="363">
        <f t="shared" si="3"/>
        <v>6</v>
      </c>
      <c r="H10" s="363">
        <f t="shared" si="3"/>
        <v>6</v>
      </c>
      <c r="I10" s="363">
        <f t="shared" si="3"/>
        <v>6</v>
      </c>
      <c r="J10" s="363">
        <f t="shared" si="3"/>
        <v>6</v>
      </c>
      <c r="K10" s="363">
        <f t="shared" si="3"/>
        <v>6</v>
      </c>
      <c r="L10" s="363">
        <f t="shared" si="3"/>
        <v>6</v>
      </c>
      <c r="M10" s="363">
        <f t="shared" si="3"/>
        <v>6</v>
      </c>
      <c r="N10" s="363">
        <f t="shared" ref="N10" si="4">M10</f>
        <v>6</v>
      </c>
      <c r="O10" s="363">
        <f t="shared" ref="O10" si="5">N10</f>
        <v>6</v>
      </c>
    </row>
    <row r="11" spans="1:15" s="31" customFormat="1" ht="15" customHeight="1">
      <c r="A11" s="29" t="s">
        <v>79</v>
      </c>
      <c r="B11" s="30">
        <v>6200</v>
      </c>
      <c r="C11" s="30">
        <v>6200</v>
      </c>
      <c r="D11" s="30">
        <v>6200</v>
      </c>
      <c r="E11" s="30">
        <v>6200</v>
      </c>
      <c r="F11" s="30">
        <v>6200</v>
      </c>
      <c r="G11" s="30">
        <v>6200</v>
      </c>
      <c r="H11" s="30">
        <v>6200</v>
      </c>
      <c r="I11" s="425">
        <v>5900</v>
      </c>
      <c r="J11" s="425">
        <v>5600</v>
      </c>
      <c r="K11" s="425">
        <v>5200</v>
      </c>
      <c r="L11" s="425"/>
      <c r="M11" s="425"/>
      <c r="N11" s="425"/>
      <c r="O11" s="425"/>
    </row>
    <row r="12" spans="1:15" s="34" customFormat="1" ht="15" customHeight="1">
      <c r="A12" s="32" t="s">
        <v>82</v>
      </c>
      <c r="B12" s="33">
        <v>347.58</v>
      </c>
      <c r="C12" s="33">
        <v>387.44</v>
      </c>
      <c r="D12" s="33">
        <v>427.85599999999999</v>
      </c>
      <c r="E12" s="33">
        <v>487.75</v>
      </c>
      <c r="F12" s="33">
        <v>567.47199999999998</v>
      </c>
      <c r="G12" s="33">
        <v>667.48800000000006</v>
      </c>
      <c r="H12" s="33">
        <v>767.91</v>
      </c>
      <c r="I12" s="426">
        <v>868.56</v>
      </c>
      <c r="J12" s="426">
        <v>1008.9839999999999</v>
      </c>
      <c r="K12" s="426">
        <v>1189.8</v>
      </c>
      <c r="L12" s="426"/>
      <c r="M12" s="426"/>
      <c r="N12" s="426"/>
      <c r="O12" s="426"/>
    </row>
    <row r="13" spans="1:15" s="37" customFormat="1" ht="15" customHeight="1">
      <c r="A13" s="35" t="s">
        <v>81</v>
      </c>
      <c r="B13" s="36">
        <v>225.67065340384633</v>
      </c>
      <c r="C13" s="36">
        <v>251.55025592607808</v>
      </c>
      <c r="D13" s="36">
        <v>277.79084838815834</v>
      </c>
      <c r="E13" s="36">
        <v>316.67777546960713</v>
      </c>
      <c r="F13" s="36">
        <v>368.43827903903411</v>
      </c>
      <c r="G13" s="36">
        <v>433.37491541293116</v>
      </c>
      <c r="H13" s="36">
        <v>498.5751523544152</v>
      </c>
      <c r="I13" s="427">
        <v>536.63680398971701</v>
      </c>
      <c r="J13" s="427">
        <v>591.69912143806675</v>
      </c>
      <c r="K13" s="427">
        <v>647.8969361351302</v>
      </c>
      <c r="L13" s="427"/>
      <c r="M13" s="427"/>
      <c r="N13" s="427"/>
      <c r="O13" s="427"/>
    </row>
    <row r="14" spans="1:15" s="31" customFormat="1" ht="15" customHeight="1">
      <c r="A14" s="29" t="s">
        <v>130</v>
      </c>
      <c r="B14" s="30">
        <v>400</v>
      </c>
      <c r="C14" s="30">
        <v>400</v>
      </c>
      <c r="D14" s="30">
        <v>400</v>
      </c>
      <c r="E14" s="30">
        <v>400</v>
      </c>
      <c r="F14" s="30">
        <v>400</v>
      </c>
      <c r="G14" s="30">
        <v>400</v>
      </c>
      <c r="H14" s="30">
        <v>400</v>
      </c>
      <c r="I14" s="425">
        <v>400</v>
      </c>
      <c r="J14" s="425">
        <v>400</v>
      </c>
      <c r="K14" s="425">
        <v>400</v>
      </c>
      <c r="L14" s="425"/>
      <c r="M14" s="425"/>
      <c r="N14" s="425"/>
      <c r="O14" s="425"/>
    </row>
    <row r="15" spans="1:15" s="40" customFormat="1" ht="15" customHeight="1">
      <c r="A15" s="38" t="s">
        <v>35</v>
      </c>
      <c r="B15" s="39">
        <v>423.59939306151637</v>
      </c>
      <c r="C15" s="39">
        <v>466.18115901583298</v>
      </c>
      <c r="D15" s="39">
        <v>515.66082283735523</v>
      </c>
      <c r="E15" s="39">
        <v>580.25100352450102</v>
      </c>
      <c r="F15" s="39">
        <v>666.63123576024145</v>
      </c>
      <c r="G15" s="39">
        <v>777.67118882433817</v>
      </c>
      <c r="H15" s="39">
        <v>891.29533660212417</v>
      </c>
      <c r="I15" s="428">
        <v>960.36102722584099</v>
      </c>
      <c r="J15" s="428">
        <v>1055.7431057766598</v>
      </c>
      <c r="K15" s="428">
        <v>1158.8952418262465</v>
      </c>
      <c r="L15" s="428"/>
      <c r="M15" s="428"/>
      <c r="N15" s="428"/>
      <c r="O15" s="428"/>
    </row>
    <row r="16" spans="1:15" s="34" customFormat="1" ht="15" customHeight="1">
      <c r="A16" s="32" t="s">
        <v>83</v>
      </c>
      <c r="B16" s="39">
        <v>18</v>
      </c>
      <c r="C16" s="39">
        <v>20</v>
      </c>
      <c r="D16" s="39">
        <v>22</v>
      </c>
      <c r="E16" s="39">
        <v>25</v>
      </c>
      <c r="F16" s="39">
        <v>29</v>
      </c>
      <c r="G16" s="39">
        <v>34</v>
      </c>
      <c r="H16" s="39">
        <v>39</v>
      </c>
      <c r="I16" s="428">
        <v>44</v>
      </c>
      <c r="J16" s="428">
        <v>51</v>
      </c>
      <c r="K16" s="428">
        <v>60</v>
      </c>
      <c r="L16" s="428"/>
      <c r="M16" s="428"/>
      <c r="N16" s="428"/>
      <c r="O16" s="428"/>
    </row>
    <row r="17" spans="1:15" s="34" customFormat="1" ht="15" customHeight="1">
      <c r="A17" s="32" t="s">
        <v>133</v>
      </c>
      <c r="B17" s="41">
        <v>0.84433268264926853</v>
      </c>
      <c r="C17" s="41">
        <v>0.84837008232054845</v>
      </c>
      <c r="D17" s="41">
        <v>0.84058962741267695</v>
      </c>
      <c r="E17" s="41">
        <v>0.84483370893689513</v>
      </c>
      <c r="F17" s="41">
        <v>0.84934064781238805</v>
      </c>
      <c r="G17" s="41">
        <v>0.84981930429268282</v>
      </c>
      <c r="H17" s="41">
        <v>0.84852235572199952</v>
      </c>
      <c r="I17" s="55">
        <v>0.84365020401390256</v>
      </c>
      <c r="J17" s="55">
        <v>0.84285534407398222</v>
      </c>
      <c r="K17" s="55">
        <v>0.83786395393445401</v>
      </c>
      <c r="L17" s="55"/>
      <c r="M17" s="55"/>
      <c r="N17" s="55"/>
      <c r="O17" s="55"/>
    </row>
    <row r="18" spans="1:15" s="45" customFormat="1" ht="15" customHeight="1">
      <c r="A18" s="43" t="s">
        <v>146</v>
      </c>
      <c r="B18" s="44">
        <v>0.91072139250746509</v>
      </c>
      <c r="C18" s="44">
        <v>0.91804523920309433</v>
      </c>
      <c r="D18" s="44">
        <v>0.92501580130172556</v>
      </c>
      <c r="E18" s="44">
        <v>0.93241624779794485</v>
      </c>
      <c r="F18" s="44">
        <v>0.93923995299698038</v>
      </c>
      <c r="G18" s="44">
        <v>0.94649985008186766</v>
      </c>
      <c r="H18" s="44">
        <v>0.95153570392109921</v>
      </c>
      <c r="I18" s="339">
        <v>0.95601100669791905</v>
      </c>
      <c r="J18" s="339">
        <v>0.95977405757004597</v>
      </c>
      <c r="K18" s="339">
        <v>0.96309165741270264</v>
      </c>
      <c r="L18" s="339"/>
      <c r="M18" s="339"/>
      <c r="N18" s="339"/>
      <c r="O18" s="339"/>
    </row>
    <row r="19" spans="1:15" s="48" customFormat="1" ht="15" customHeight="1">
      <c r="A19" s="46" t="s">
        <v>147</v>
      </c>
      <c r="B19" s="47">
        <v>13.89</v>
      </c>
      <c r="C19" s="47">
        <v>13.89</v>
      </c>
      <c r="D19" s="47">
        <v>13.89</v>
      </c>
      <c r="E19" s="47">
        <v>13.89</v>
      </c>
      <c r="F19" s="47">
        <v>13.89</v>
      </c>
      <c r="G19" s="47">
        <v>13.89</v>
      </c>
      <c r="H19" s="47">
        <v>13.89</v>
      </c>
      <c r="I19" s="47">
        <v>13.89</v>
      </c>
      <c r="J19" s="429">
        <v>13.89</v>
      </c>
      <c r="K19" s="429">
        <v>13.89</v>
      </c>
      <c r="L19" s="429"/>
      <c r="M19" s="429"/>
      <c r="N19" s="429"/>
      <c r="O19" s="429"/>
    </row>
    <row r="20" spans="1:15" s="34" customFormat="1" ht="24.75" customHeight="1">
      <c r="A20" s="32"/>
      <c r="B20" s="364" t="s">
        <v>183</v>
      </c>
      <c r="C20" s="49"/>
      <c r="D20" s="49"/>
      <c r="E20" s="49"/>
      <c r="F20" s="49"/>
      <c r="G20" s="49"/>
      <c r="H20" s="49"/>
      <c r="I20" s="430"/>
      <c r="J20" s="430"/>
      <c r="K20" s="430"/>
      <c r="L20" s="430"/>
      <c r="M20" s="430"/>
      <c r="N20" s="430"/>
      <c r="O20" s="430"/>
    </row>
    <row r="21" spans="1:15" s="31" customFormat="1" ht="15" customHeight="1">
      <c r="A21" s="29"/>
      <c r="B21" s="50" t="s">
        <v>264</v>
      </c>
      <c r="C21" s="50" t="s">
        <v>231</v>
      </c>
      <c r="D21" s="50" t="s">
        <v>231</v>
      </c>
      <c r="E21" s="50" t="s">
        <v>231</v>
      </c>
      <c r="F21" s="50" t="s">
        <v>231</v>
      </c>
      <c r="G21" s="50" t="s">
        <v>231</v>
      </c>
      <c r="H21" s="50" t="s">
        <v>231</v>
      </c>
      <c r="I21" s="50" t="s">
        <v>231</v>
      </c>
      <c r="J21" s="50" t="s">
        <v>231</v>
      </c>
      <c r="K21" s="50" t="s">
        <v>231</v>
      </c>
      <c r="L21" s="50"/>
      <c r="M21" s="50">
        <v>0</v>
      </c>
      <c r="N21" s="50">
        <v>0</v>
      </c>
      <c r="O21" s="50">
        <v>0</v>
      </c>
    </row>
    <row r="22" spans="1:15" s="45" customFormat="1" ht="15" customHeight="1">
      <c r="A22" s="43"/>
      <c r="B22" s="365" t="s">
        <v>232</v>
      </c>
      <c r="C22" s="365" t="s">
        <v>233</v>
      </c>
      <c r="D22" s="365" t="s">
        <v>234</v>
      </c>
      <c r="E22" s="365" t="s">
        <v>235</v>
      </c>
      <c r="F22" s="365" t="s">
        <v>236</v>
      </c>
      <c r="G22" s="365" t="s">
        <v>237</v>
      </c>
      <c r="H22" s="365" t="s">
        <v>238</v>
      </c>
      <c r="I22" s="365" t="s">
        <v>239</v>
      </c>
      <c r="J22" s="365" t="s">
        <v>240</v>
      </c>
      <c r="K22" s="365" t="s">
        <v>241</v>
      </c>
      <c r="L22" s="365"/>
      <c r="M22" s="365"/>
      <c r="N22" s="365"/>
      <c r="O22" s="365"/>
    </row>
    <row r="23" spans="1:15" s="31" customFormat="1" ht="15" customHeight="1">
      <c r="A23" s="52" t="s">
        <v>148</v>
      </c>
      <c r="B23" s="53">
        <v>20.779778534682695</v>
      </c>
      <c r="C23" s="53">
        <v>17.222349491438802</v>
      </c>
      <c r="D23" s="53">
        <v>13.9828385388504</v>
      </c>
      <c r="E23" s="53">
        <v>11.003619379536509</v>
      </c>
      <c r="F23" s="53">
        <v>8.4492520937382363</v>
      </c>
      <c r="G23" s="53">
        <v>6.0976267432573108</v>
      </c>
      <c r="H23" s="53">
        <v>4.6609461796167979</v>
      </c>
      <c r="I23" s="53">
        <v>3.667873126512168</v>
      </c>
      <c r="J23" s="53">
        <v>2.8164173645794119</v>
      </c>
      <c r="K23" s="53">
        <v>2.0325422477524375</v>
      </c>
      <c r="L23" s="53"/>
      <c r="M23" s="53"/>
      <c r="N23" s="53"/>
      <c r="O23" s="53"/>
    </row>
    <row r="24" spans="1:15" s="34" customFormat="1" ht="15" customHeight="1">
      <c r="A24" s="54" t="s">
        <v>149</v>
      </c>
      <c r="B24" s="53">
        <v>18.251806198430852</v>
      </c>
      <c r="C24" s="53">
        <v>15.006759744480101</v>
      </c>
      <c r="D24" s="53">
        <v>12.094651030462654</v>
      </c>
      <c r="E24" s="53">
        <v>9.5095529549730902</v>
      </c>
      <c r="F24" s="53">
        <v>7.245986830298083</v>
      </c>
      <c r="G24" s="53">
        <v>5.2987451175068303</v>
      </c>
      <c r="H24" s="53">
        <v>3.9559379328133821</v>
      </c>
      <c r="I24" s="53">
        <v>3.1117458155759379</v>
      </c>
      <c r="J24" s="53">
        <v>2.3720453513241808</v>
      </c>
      <c r="K24" s="53">
        <v>1.735296760806581</v>
      </c>
      <c r="L24" s="53"/>
      <c r="M24" s="53"/>
      <c r="N24" s="53"/>
      <c r="O24" s="53"/>
    </row>
    <row r="25" spans="1:15" s="34" customFormat="1" ht="15" customHeight="1">
      <c r="A25" s="54" t="s">
        <v>150</v>
      </c>
      <c r="B25" s="53">
        <v>56.054575776324988</v>
      </c>
      <c r="C25" s="53">
        <v>50.418093944139528</v>
      </c>
      <c r="D25" s="53">
        <v>44.029135151446766</v>
      </c>
      <c r="E25" s="53">
        <v>38.352581059788484</v>
      </c>
      <c r="F25" s="53">
        <v>32.627246149994782</v>
      </c>
      <c r="G25" s="53">
        <v>26.803988453838304</v>
      </c>
      <c r="H25" s="53">
        <v>22.116623766826507</v>
      </c>
      <c r="I25" s="53">
        <v>18.876745537266732</v>
      </c>
      <c r="J25" s="53">
        <v>15.747610052003482</v>
      </c>
      <c r="K25" s="53">
        <v>12.686709598665599</v>
      </c>
      <c r="L25" s="53"/>
      <c r="M25" s="53"/>
      <c r="N25" s="53"/>
      <c r="O25" s="53"/>
    </row>
    <row r="26" spans="1:15" s="34" customFormat="1" ht="15" customHeight="1">
      <c r="A26" s="54" t="s">
        <v>151</v>
      </c>
      <c r="B26" s="55">
        <v>0.70089962084343105</v>
      </c>
      <c r="C26" s="55">
        <v>0.57925472858976135</v>
      </c>
      <c r="D26" s="55">
        <v>0.46919726855177446</v>
      </c>
      <c r="E26" s="55">
        <v>0.37072374920842394</v>
      </c>
      <c r="F26" s="55">
        <v>0.28383538459837271</v>
      </c>
      <c r="G26" s="55">
        <v>0.20853211935634416</v>
      </c>
      <c r="H26" s="55">
        <v>0.15639908951725812</v>
      </c>
      <c r="I26" s="55">
        <v>0.12357458306947457</v>
      </c>
      <c r="J26" s="55">
        <v>9.4611794866124213E-2</v>
      </c>
      <c r="K26" s="55">
        <v>6.9510706452114698E-2</v>
      </c>
      <c r="L26" s="55"/>
      <c r="M26" s="55"/>
      <c r="N26" s="55"/>
      <c r="O26" s="55"/>
    </row>
    <row r="27" spans="1:15" s="34" customFormat="1" ht="15" customHeight="1">
      <c r="A27" s="54" t="s">
        <v>152</v>
      </c>
      <c r="B27" s="55">
        <v>0.57046953310213477</v>
      </c>
      <c r="C27" s="55">
        <v>0.46842361299026158</v>
      </c>
      <c r="D27" s="55">
        <v>0.38263137350883397</v>
      </c>
      <c r="E27" s="55">
        <v>0.30037723666478472</v>
      </c>
      <c r="F27" s="55">
        <v>0.22829367211423904</v>
      </c>
      <c r="G27" s="55">
        <v>0.16748884888044202</v>
      </c>
      <c r="H27" s="55">
        <v>0.12634984042141995</v>
      </c>
      <c r="I27" s="55">
        <v>0.10067237976436771</v>
      </c>
      <c r="J27" s="55">
        <v>7.7326396178771115E-2</v>
      </c>
      <c r="K27" s="55">
        <v>5.7400884816279467E-2</v>
      </c>
      <c r="L27" s="55"/>
      <c r="M27" s="55"/>
      <c r="N27" s="55"/>
      <c r="O27" s="55"/>
    </row>
    <row r="28" spans="1:15" s="34" customFormat="1" ht="15" customHeight="1">
      <c r="A28" s="54" t="s">
        <v>153</v>
      </c>
      <c r="B28" s="55">
        <v>12.582190650957775</v>
      </c>
      <c r="C28" s="55">
        <v>10.609447133863862</v>
      </c>
      <c r="D28" s="55">
        <v>8.2729963139986573</v>
      </c>
      <c r="E28" s="55">
        <v>6.6694262224280854</v>
      </c>
      <c r="F28" s="55">
        <v>5.1986684690112108</v>
      </c>
      <c r="G28" s="55">
        <v>3.8360301787262152</v>
      </c>
      <c r="H28" s="55">
        <v>2.8188793076561045</v>
      </c>
      <c r="I28" s="55">
        <v>2.214584317694722</v>
      </c>
      <c r="J28" s="55">
        <v>1.7145460587745998</v>
      </c>
      <c r="K28" s="55">
        <v>1.269766773409243</v>
      </c>
      <c r="L28" s="55"/>
      <c r="M28" s="55"/>
      <c r="N28" s="55"/>
      <c r="O28" s="55"/>
    </row>
    <row r="29" spans="1:15" s="34" customFormat="1" ht="15" customHeight="1">
      <c r="A29" s="54" t="s">
        <v>154</v>
      </c>
      <c r="B29" s="55">
        <v>0.63923156108862922</v>
      </c>
      <c r="C29" s="55">
        <v>0.64966175886835342</v>
      </c>
      <c r="D29" s="55">
        <v>0.62520879135240104</v>
      </c>
      <c r="E29" s="55">
        <v>0.63980311648448285</v>
      </c>
      <c r="F29" s="55">
        <v>0.64887445572522118</v>
      </c>
      <c r="G29" s="55">
        <v>0.66330106259045651</v>
      </c>
      <c r="H29" s="55">
        <v>0.63834214824981661</v>
      </c>
      <c r="I29" s="55">
        <v>0.63746995059984113</v>
      </c>
      <c r="J29" s="55">
        <v>0.64236141858573337</v>
      </c>
      <c r="K29" s="55">
        <v>0.65891741307828444</v>
      </c>
      <c r="L29" s="55"/>
      <c r="M29" s="55"/>
      <c r="N29" s="55"/>
      <c r="O29" s="55"/>
    </row>
    <row r="30" spans="1:15" s="34" customFormat="1" ht="15" customHeight="1">
      <c r="A30" s="54" t="s">
        <v>155</v>
      </c>
      <c r="B30" s="55">
        <v>0.72062238887845909</v>
      </c>
      <c r="C30" s="55">
        <v>0.73819205048104208</v>
      </c>
      <c r="D30" s="55">
        <v>0.71565749732726203</v>
      </c>
      <c r="E30" s="55">
        <v>0.73292651001516973</v>
      </c>
      <c r="F30" s="55">
        <v>0.74896108262760919</v>
      </c>
      <c r="G30" s="55">
        <v>0.75555984272185484</v>
      </c>
      <c r="H30" s="55">
        <v>0.74450843215908047</v>
      </c>
      <c r="I30" s="55">
        <v>0.74403785999164929</v>
      </c>
      <c r="J30" s="55">
        <v>0.7554123929178117</v>
      </c>
      <c r="K30" s="55">
        <v>0.76480731607465435</v>
      </c>
      <c r="L30" s="55"/>
      <c r="M30" s="55"/>
      <c r="N30" s="55"/>
      <c r="O30" s="55"/>
    </row>
    <row r="31" spans="1:15" s="34" customFormat="1" ht="15" customHeight="1">
      <c r="A31" s="56" t="s">
        <v>156</v>
      </c>
      <c r="B31" s="55">
        <v>63.263681289333164</v>
      </c>
      <c r="C31" s="55">
        <v>57.512380127887837</v>
      </c>
      <c r="D31" s="55">
        <v>51.761193876292936</v>
      </c>
      <c r="E31" s="55">
        <v>46.009948962011634</v>
      </c>
      <c r="F31" s="55">
        <v>40.2587063424766</v>
      </c>
      <c r="G31" s="55">
        <v>34.507462584195288</v>
      </c>
      <c r="H31" s="55">
        <v>29.884339218054137</v>
      </c>
      <c r="I31" s="55">
        <v>26.563856418618368</v>
      </c>
      <c r="J31" s="55">
        <v>23.24337494405496</v>
      </c>
      <c r="K31" s="55">
        <v>19.922892812036086</v>
      </c>
      <c r="L31" s="55"/>
      <c r="M31" s="55"/>
      <c r="N31" s="55"/>
      <c r="O31" s="55"/>
    </row>
    <row r="32" spans="1:15" s="59" customFormat="1" ht="15" customHeight="1">
      <c r="A32" s="57" t="s">
        <v>157</v>
      </c>
      <c r="B32" s="58">
        <v>143.98229509386394</v>
      </c>
      <c r="C32" s="58">
        <v>154.15789590655314</v>
      </c>
      <c r="D32" s="58">
        <v>180.23626791066553</v>
      </c>
      <c r="E32" s="58">
        <v>197.40415462803315</v>
      </c>
      <c r="F32" s="58">
        <v>218.8233229067647</v>
      </c>
      <c r="G32" s="58">
        <v>253.86340501447495</v>
      </c>
      <c r="H32" s="58">
        <v>303.1701328119147</v>
      </c>
      <c r="I32" s="58">
        <v>343.683599423874</v>
      </c>
      <c r="J32" s="58">
        <v>384.51693197301643</v>
      </c>
      <c r="K32" s="58">
        <v>443.82808629612254</v>
      </c>
      <c r="L32" s="58"/>
      <c r="M32" s="58"/>
      <c r="N32" s="58"/>
      <c r="O32" s="58"/>
    </row>
    <row r="33" spans="1:15" ht="15" customHeight="1">
      <c r="A33" s="60"/>
      <c r="B33" s="61"/>
      <c r="C33" s="61"/>
      <c r="D33" s="61"/>
      <c r="E33" s="61"/>
      <c r="F33" s="61"/>
      <c r="G33" s="61"/>
      <c r="H33" s="61"/>
      <c r="I33" s="62"/>
      <c r="J33" s="62"/>
      <c r="K33" s="62"/>
      <c r="L33" s="62"/>
      <c r="M33" s="62"/>
      <c r="N33" s="62"/>
      <c r="O33" s="62"/>
    </row>
    <row r="35" spans="1:15" ht="15" customHeight="1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</row>
  </sheetData>
  <pageMargins left="0.39370078740157483" right="0.19685039370078741" top="0.39370078740157483" bottom="0.59055118110236227" header="0.19685039370078741" footer="0.39370078740157483"/>
  <pageSetup paperSize="9" scale="55" fitToHeight="0" orientation="portrait" horizontalDpi="120" verticalDpi="144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>
              <from>
                <xdr:col>0</xdr:col>
                <xdr:colOff>180975</xdr:colOff>
                <xdr:row>1</xdr:row>
                <xdr:rowOff>161925</xdr:rowOff>
              </from>
              <to>
                <xdr:col>0</xdr:col>
                <xdr:colOff>1819275</xdr:colOff>
                <xdr:row>4</xdr:row>
                <xdr:rowOff>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IP153"/>
  <sheetViews>
    <sheetView topLeftCell="A20" zoomScaleNormal="100" zoomScaleSheetLayoutView="80" workbookViewId="0">
      <selection activeCell="M23" sqref="M23"/>
    </sheetView>
  </sheetViews>
  <sheetFormatPr defaultColWidth="10.7109375" defaultRowHeight="15" customHeight="1"/>
  <cols>
    <col min="1" max="2" width="11.7109375" style="77" customWidth="1"/>
    <col min="3" max="4" width="11.7109375" style="90" customWidth="1"/>
    <col min="5" max="5" width="11.7109375" style="77" customWidth="1"/>
    <col min="6" max="6" width="11.7109375" style="90" customWidth="1"/>
    <col min="7" max="8" width="11.7109375" style="77" customWidth="1"/>
    <col min="9" max="9" width="11.7109375" style="90" customWidth="1"/>
    <col min="10" max="10" width="11.7109375" style="165" customWidth="1"/>
    <col min="11" max="11" width="11.7109375" style="77" customWidth="1"/>
    <col min="12" max="12" width="11.7109375" style="90" customWidth="1"/>
    <col min="13" max="14" width="11.7109375" style="77" customWidth="1"/>
    <col min="15" max="28" width="8.7109375" style="454" customWidth="1"/>
    <col min="29" max="30" width="10.7109375" style="454" customWidth="1"/>
    <col min="31" max="33" width="10.7109375" style="74" customWidth="1"/>
    <col min="34" max="52" width="10.7109375" style="200" customWidth="1"/>
    <col min="53" max="56" width="10.7109375" style="422" customWidth="1"/>
    <col min="57" max="256" width="10.7109375" style="77"/>
    <col min="257" max="270" width="11" style="77" customWidth="1"/>
    <col min="271" max="284" width="8.7109375" style="77" customWidth="1"/>
    <col min="285" max="512" width="10.7109375" style="77"/>
    <col min="513" max="526" width="11" style="77" customWidth="1"/>
    <col min="527" max="540" width="8.7109375" style="77" customWidth="1"/>
    <col min="541" max="768" width="10.7109375" style="77"/>
    <col min="769" max="782" width="11" style="77" customWidth="1"/>
    <col min="783" max="796" width="8.7109375" style="77" customWidth="1"/>
    <col min="797" max="1024" width="10.7109375" style="77"/>
    <col min="1025" max="1038" width="11" style="77" customWidth="1"/>
    <col min="1039" max="1052" width="8.7109375" style="77" customWidth="1"/>
    <col min="1053" max="1280" width="10.7109375" style="77"/>
    <col min="1281" max="1294" width="11" style="77" customWidth="1"/>
    <col min="1295" max="1308" width="8.7109375" style="77" customWidth="1"/>
    <col min="1309" max="1536" width="10.7109375" style="77"/>
    <col min="1537" max="1550" width="11" style="77" customWidth="1"/>
    <col min="1551" max="1564" width="8.7109375" style="77" customWidth="1"/>
    <col min="1565" max="1792" width="10.7109375" style="77"/>
    <col min="1793" max="1806" width="11" style="77" customWidth="1"/>
    <col min="1807" max="1820" width="8.7109375" style="77" customWidth="1"/>
    <col min="1821" max="2048" width="10.7109375" style="77"/>
    <col min="2049" max="2062" width="11" style="77" customWidth="1"/>
    <col min="2063" max="2076" width="8.7109375" style="77" customWidth="1"/>
    <col min="2077" max="2304" width="10.7109375" style="77"/>
    <col min="2305" max="2318" width="11" style="77" customWidth="1"/>
    <col min="2319" max="2332" width="8.7109375" style="77" customWidth="1"/>
    <col min="2333" max="2560" width="10.7109375" style="77"/>
    <col min="2561" max="2574" width="11" style="77" customWidth="1"/>
    <col min="2575" max="2588" width="8.7109375" style="77" customWidth="1"/>
    <col min="2589" max="2816" width="10.7109375" style="77"/>
    <col min="2817" max="2830" width="11" style="77" customWidth="1"/>
    <col min="2831" max="2844" width="8.7109375" style="77" customWidth="1"/>
    <col min="2845" max="3072" width="10.7109375" style="77"/>
    <col min="3073" max="3086" width="11" style="77" customWidth="1"/>
    <col min="3087" max="3100" width="8.7109375" style="77" customWidth="1"/>
    <col min="3101" max="3328" width="10.7109375" style="77"/>
    <col min="3329" max="3342" width="11" style="77" customWidth="1"/>
    <col min="3343" max="3356" width="8.7109375" style="77" customWidth="1"/>
    <col min="3357" max="3584" width="10.7109375" style="77"/>
    <col min="3585" max="3598" width="11" style="77" customWidth="1"/>
    <col min="3599" max="3612" width="8.7109375" style="77" customWidth="1"/>
    <col min="3613" max="3840" width="10.7109375" style="77"/>
    <col min="3841" max="3854" width="11" style="77" customWidth="1"/>
    <col min="3855" max="3868" width="8.7109375" style="77" customWidth="1"/>
    <col min="3869" max="4096" width="10.7109375" style="77"/>
    <col min="4097" max="4110" width="11" style="77" customWidth="1"/>
    <col min="4111" max="4124" width="8.7109375" style="77" customWidth="1"/>
    <col min="4125" max="4352" width="10.7109375" style="77"/>
    <col min="4353" max="4366" width="11" style="77" customWidth="1"/>
    <col min="4367" max="4380" width="8.7109375" style="77" customWidth="1"/>
    <col min="4381" max="4608" width="10.7109375" style="77"/>
    <col min="4609" max="4622" width="11" style="77" customWidth="1"/>
    <col min="4623" max="4636" width="8.7109375" style="77" customWidth="1"/>
    <col min="4637" max="4864" width="10.7109375" style="77"/>
    <col min="4865" max="4878" width="11" style="77" customWidth="1"/>
    <col min="4879" max="4892" width="8.7109375" style="77" customWidth="1"/>
    <col min="4893" max="5120" width="10.7109375" style="77"/>
    <col min="5121" max="5134" width="11" style="77" customWidth="1"/>
    <col min="5135" max="5148" width="8.7109375" style="77" customWidth="1"/>
    <col min="5149" max="5376" width="10.7109375" style="77"/>
    <col min="5377" max="5390" width="11" style="77" customWidth="1"/>
    <col min="5391" max="5404" width="8.7109375" style="77" customWidth="1"/>
    <col min="5405" max="5632" width="10.7109375" style="77"/>
    <col min="5633" max="5646" width="11" style="77" customWidth="1"/>
    <col min="5647" max="5660" width="8.7109375" style="77" customWidth="1"/>
    <col min="5661" max="5888" width="10.7109375" style="77"/>
    <col min="5889" max="5902" width="11" style="77" customWidth="1"/>
    <col min="5903" max="5916" width="8.7109375" style="77" customWidth="1"/>
    <col min="5917" max="6144" width="10.7109375" style="77"/>
    <col min="6145" max="6158" width="11" style="77" customWidth="1"/>
    <col min="6159" max="6172" width="8.7109375" style="77" customWidth="1"/>
    <col min="6173" max="6400" width="10.7109375" style="77"/>
    <col min="6401" max="6414" width="11" style="77" customWidth="1"/>
    <col min="6415" max="6428" width="8.7109375" style="77" customWidth="1"/>
    <col min="6429" max="6656" width="10.7109375" style="77"/>
    <col min="6657" max="6670" width="11" style="77" customWidth="1"/>
    <col min="6671" max="6684" width="8.7109375" style="77" customWidth="1"/>
    <col min="6685" max="6912" width="10.7109375" style="77"/>
    <col min="6913" max="6926" width="11" style="77" customWidth="1"/>
    <col min="6927" max="6940" width="8.7109375" style="77" customWidth="1"/>
    <col min="6941" max="7168" width="10.7109375" style="77"/>
    <col min="7169" max="7182" width="11" style="77" customWidth="1"/>
    <col min="7183" max="7196" width="8.7109375" style="77" customWidth="1"/>
    <col min="7197" max="7424" width="10.7109375" style="77"/>
    <col min="7425" max="7438" width="11" style="77" customWidth="1"/>
    <col min="7439" max="7452" width="8.7109375" style="77" customWidth="1"/>
    <col min="7453" max="7680" width="10.7109375" style="77"/>
    <col min="7681" max="7694" width="11" style="77" customWidth="1"/>
    <col min="7695" max="7708" width="8.7109375" style="77" customWidth="1"/>
    <col min="7709" max="7936" width="10.7109375" style="77"/>
    <col min="7937" max="7950" width="11" style="77" customWidth="1"/>
    <col min="7951" max="7964" width="8.7109375" style="77" customWidth="1"/>
    <col min="7965" max="8192" width="10.7109375" style="77"/>
    <col min="8193" max="8206" width="11" style="77" customWidth="1"/>
    <col min="8207" max="8220" width="8.7109375" style="77" customWidth="1"/>
    <col min="8221" max="8448" width="10.7109375" style="77"/>
    <col min="8449" max="8462" width="11" style="77" customWidth="1"/>
    <col min="8463" max="8476" width="8.7109375" style="77" customWidth="1"/>
    <col min="8477" max="8704" width="10.7109375" style="77"/>
    <col min="8705" max="8718" width="11" style="77" customWidth="1"/>
    <col min="8719" max="8732" width="8.7109375" style="77" customWidth="1"/>
    <col min="8733" max="8960" width="10.7109375" style="77"/>
    <col min="8961" max="8974" width="11" style="77" customWidth="1"/>
    <col min="8975" max="8988" width="8.7109375" style="77" customWidth="1"/>
    <col min="8989" max="9216" width="10.7109375" style="77"/>
    <col min="9217" max="9230" width="11" style="77" customWidth="1"/>
    <col min="9231" max="9244" width="8.7109375" style="77" customWidth="1"/>
    <col min="9245" max="9472" width="10.7109375" style="77"/>
    <col min="9473" max="9486" width="11" style="77" customWidth="1"/>
    <col min="9487" max="9500" width="8.7109375" style="77" customWidth="1"/>
    <col min="9501" max="9728" width="10.7109375" style="77"/>
    <col min="9729" max="9742" width="11" style="77" customWidth="1"/>
    <col min="9743" max="9756" width="8.7109375" style="77" customWidth="1"/>
    <col min="9757" max="9984" width="10.7109375" style="77"/>
    <col min="9985" max="9998" width="11" style="77" customWidth="1"/>
    <col min="9999" max="10012" width="8.7109375" style="77" customWidth="1"/>
    <col min="10013" max="10240" width="10.7109375" style="77"/>
    <col min="10241" max="10254" width="11" style="77" customWidth="1"/>
    <col min="10255" max="10268" width="8.7109375" style="77" customWidth="1"/>
    <col min="10269" max="10496" width="10.7109375" style="77"/>
    <col min="10497" max="10510" width="11" style="77" customWidth="1"/>
    <col min="10511" max="10524" width="8.7109375" style="77" customWidth="1"/>
    <col min="10525" max="10752" width="10.7109375" style="77"/>
    <col min="10753" max="10766" width="11" style="77" customWidth="1"/>
    <col min="10767" max="10780" width="8.7109375" style="77" customWidth="1"/>
    <col min="10781" max="11008" width="10.7109375" style="77"/>
    <col min="11009" max="11022" width="11" style="77" customWidth="1"/>
    <col min="11023" max="11036" width="8.7109375" style="77" customWidth="1"/>
    <col min="11037" max="11264" width="10.7109375" style="77"/>
    <col min="11265" max="11278" width="11" style="77" customWidth="1"/>
    <col min="11279" max="11292" width="8.7109375" style="77" customWidth="1"/>
    <col min="11293" max="11520" width="10.7109375" style="77"/>
    <col min="11521" max="11534" width="11" style="77" customWidth="1"/>
    <col min="11535" max="11548" width="8.7109375" style="77" customWidth="1"/>
    <col min="11549" max="11776" width="10.7109375" style="77"/>
    <col min="11777" max="11790" width="11" style="77" customWidth="1"/>
    <col min="11791" max="11804" width="8.7109375" style="77" customWidth="1"/>
    <col min="11805" max="12032" width="10.7109375" style="77"/>
    <col min="12033" max="12046" width="11" style="77" customWidth="1"/>
    <col min="12047" max="12060" width="8.7109375" style="77" customWidth="1"/>
    <col min="12061" max="12288" width="10.7109375" style="77"/>
    <col min="12289" max="12302" width="11" style="77" customWidth="1"/>
    <col min="12303" max="12316" width="8.7109375" style="77" customWidth="1"/>
    <col min="12317" max="12544" width="10.7109375" style="77"/>
    <col min="12545" max="12558" width="11" style="77" customWidth="1"/>
    <col min="12559" max="12572" width="8.7109375" style="77" customWidth="1"/>
    <col min="12573" max="12800" width="10.7109375" style="77"/>
    <col min="12801" max="12814" width="11" style="77" customWidth="1"/>
    <col min="12815" max="12828" width="8.7109375" style="77" customWidth="1"/>
    <col min="12829" max="13056" width="10.7109375" style="77"/>
    <col min="13057" max="13070" width="11" style="77" customWidth="1"/>
    <col min="13071" max="13084" width="8.7109375" style="77" customWidth="1"/>
    <col min="13085" max="13312" width="10.7109375" style="77"/>
    <col min="13313" max="13326" width="11" style="77" customWidth="1"/>
    <col min="13327" max="13340" width="8.7109375" style="77" customWidth="1"/>
    <col min="13341" max="13568" width="10.7109375" style="77"/>
    <col min="13569" max="13582" width="11" style="77" customWidth="1"/>
    <col min="13583" max="13596" width="8.7109375" style="77" customWidth="1"/>
    <col min="13597" max="13824" width="10.7109375" style="77"/>
    <col min="13825" max="13838" width="11" style="77" customWidth="1"/>
    <col min="13839" max="13852" width="8.7109375" style="77" customWidth="1"/>
    <col min="13853" max="14080" width="10.7109375" style="77"/>
    <col min="14081" max="14094" width="11" style="77" customWidth="1"/>
    <col min="14095" max="14108" width="8.7109375" style="77" customWidth="1"/>
    <col min="14109" max="14336" width="10.7109375" style="77"/>
    <col min="14337" max="14350" width="11" style="77" customWidth="1"/>
    <col min="14351" max="14364" width="8.7109375" style="77" customWidth="1"/>
    <col min="14365" max="14592" width="10.7109375" style="77"/>
    <col min="14593" max="14606" width="11" style="77" customWidth="1"/>
    <col min="14607" max="14620" width="8.7109375" style="77" customWidth="1"/>
    <col min="14621" max="14848" width="10.7109375" style="77"/>
    <col min="14849" max="14862" width="11" style="77" customWidth="1"/>
    <col min="14863" max="14876" width="8.7109375" style="77" customWidth="1"/>
    <col min="14877" max="15104" width="10.7109375" style="77"/>
    <col min="15105" max="15118" width="11" style="77" customWidth="1"/>
    <col min="15119" max="15132" width="8.7109375" style="77" customWidth="1"/>
    <col min="15133" max="15360" width="10.7109375" style="77"/>
    <col min="15361" max="15374" width="11" style="77" customWidth="1"/>
    <col min="15375" max="15388" width="8.7109375" style="77" customWidth="1"/>
    <col min="15389" max="15616" width="10.7109375" style="77"/>
    <col min="15617" max="15630" width="11" style="77" customWidth="1"/>
    <col min="15631" max="15644" width="8.7109375" style="77" customWidth="1"/>
    <col min="15645" max="15872" width="10.7109375" style="77"/>
    <col min="15873" max="15886" width="11" style="77" customWidth="1"/>
    <col min="15887" max="15900" width="8.7109375" style="77" customWidth="1"/>
    <col min="15901" max="16128" width="10.7109375" style="77"/>
    <col min="16129" max="16142" width="11" style="77" customWidth="1"/>
    <col min="16143" max="16156" width="8.7109375" style="77" customWidth="1"/>
    <col min="16157" max="16384" width="10.7109375" style="77"/>
  </cols>
  <sheetData>
    <row r="1" spans="1:56" ht="20.100000000000001" customHeight="1">
      <c r="A1" s="66"/>
      <c r="B1" s="67"/>
      <c r="C1" s="68"/>
      <c r="D1" s="69"/>
      <c r="E1" s="70"/>
      <c r="F1" s="70"/>
      <c r="G1" s="70"/>
      <c r="H1" s="70"/>
      <c r="I1" s="70"/>
      <c r="J1" s="71"/>
      <c r="K1" s="72"/>
      <c r="L1" s="73" t="s">
        <v>7</v>
      </c>
      <c r="M1" s="581" t="str">
        <f>RESUM!O2</f>
        <v>DT-QT 315 L</v>
      </c>
      <c r="N1" s="582"/>
      <c r="O1" s="527"/>
      <c r="P1" s="527"/>
      <c r="Q1" s="527"/>
      <c r="R1" s="527"/>
      <c r="S1" s="527"/>
      <c r="T1" s="527"/>
      <c r="U1" s="527"/>
      <c r="V1" s="527"/>
      <c r="W1" s="527"/>
      <c r="X1" s="527"/>
      <c r="Y1" s="527"/>
      <c r="Z1" s="527"/>
      <c r="AA1" s="527"/>
      <c r="AB1" s="527"/>
      <c r="AC1" s="527"/>
      <c r="AD1" s="527"/>
      <c r="AE1" s="527"/>
      <c r="AF1" s="527"/>
    </row>
    <row r="2" spans="1:56" ht="20.100000000000001" customHeight="1">
      <c r="A2" s="78"/>
      <c r="C2" s="79"/>
      <c r="D2" s="583" t="str">
        <f>RESUM!G2</f>
        <v>MAC QT 315 L</v>
      </c>
      <c r="E2" s="584"/>
      <c r="F2" s="584"/>
      <c r="G2" s="584"/>
      <c r="H2" s="584"/>
      <c r="I2" s="584"/>
      <c r="J2" s="584"/>
      <c r="K2" s="585"/>
      <c r="L2" s="80" t="s">
        <v>8</v>
      </c>
      <c r="M2" s="586" t="str">
        <f>RESUM!O3</f>
        <v>08</v>
      </c>
      <c r="N2" s="587"/>
      <c r="O2" s="527"/>
      <c r="P2" s="527"/>
      <c r="Q2" s="527"/>
      <c r="R2" s="527"/>
      <c r="S2" s="527"/>
      <c r="T2" s="527"/>
      <c r="U2" s="527"/>
      <c r="V2" s="527"/>
      <c r="W2" s="527"/>
      <c r="X2" s="527"/>
      <c r="Y2" s="527"/>
      <c r="Z2" s="527"/>
      <c r="AA2" s="527"/>
      <c r="AB2" s="527"/>
      <c r="AC2" s="527"/>
      <c r="AD2" s="527"/>
      <c r="AE2" s="527"/>
      <c r="AF2" s="527"/>
    </row>
    <row r="3" spans="1:56" ht="20.100000000000001" customHeight="1">
      <c r="A3" s="78"/>
      <c r="C3" s="79"/>
      <c r="D3" s="588" t="s">
        <v>9</v>
      </c>
      <c r="E3" s="589"/>
      <c r="F3" s="589"/>
      <c r="G3" s="589"/>
      <c r="H3" s="589"/>
      <c r="I3" s="589"/>
      <c r="J3" s="589"/>
      <c r="K3" s="590"/>
      <c r="L3" s="80" t="s">
        <v>10</v>
      </c>
      <c r="M3" s="591" t="s">
        <v>11</v>
      </c>
      <c r="N3" s="592"/>
      <c r="O3" s="527"/>
      <c r="P3" s="527"/>
      <c r="Q3" s="527"/>
      <c r="R3" s="527"/>
      <c r="S3" s="527"/>
      <c r="T3" s="527"/>
      <c r="U3" s="527"/>
      <c r="V3" s="527"/>
      <c r="W3" s="527"/>
      <c r="X3" s="527"/>
      <c r="Y3" s="527"/>
      <c r="Z3" s="527"/>
      <c r="AA3" s="527"/>
      <c r="AB3" s="527"/>
      <c r="AC3" s="527"/>
      <c r="AD3" s="527"/>
      <c r="AE3" s="527"/>
      <c r="AF3" s="527"/>
    </row>
    <row r="4" spans="1:56" ht="20.100000000000001" customHeight="1">
      <c r="A4" s="78"/>
      <c r="C4" s="79"/>
      <c r="D4" s="597" t="s">
        <v>12</v>
      </c>
      <c r="E4" s="598"/>
      <c r="F4" s="598"/>
      <c r="G4" s="598"/>
      <c r="H4" s="598"/>
      <c r="I4" s="598"/>
      <c r="J4" s="598"/>
      <c r="K4" s="599"/>
      <c r="L4" s="80" t="s">
        <v>13</v>
      </c>
      <c r="M4" s="600">
        <f>RESUM!O5</f>
        <v>45239</v>
      </c>
      <c r="N4" s="592"/>
      <c r="O4" s="527"/>
      <c r="P4" s="527"/>
      <c r="Q4" s="527"/>
      <c r="R4" s="527"/>
      <c r="S4" s="527"/>
      <c r="T4" s="527"/>
      <c r="U4" s="527"/>
      <c r="V4" s="527"/>
      <c r="W4" s="527"/>
      <c r="X4" s="527"/>
      <c r="Y4" s="527"/>
      <c r="Z4" s="527"/>
      <c r="AA4" s="527"/>
      <c r="AB4" s="527"/>
      <c r="AC4" s="527"/>
      <c r="AD4" s="527"/>
      <c r="AE4" s="527"/>
      <c r="AF4" s="527"/>
    </row>
    <row r="5" spans="1:56" ht="20.100000000000001" customHeight="1" thickBot="1">
      <c r="A5" s="81"/>
      <c r="B5" s="82"/>
      <c r="C5" s="83"/>
      <c r="D5" s="84"/>
      <c r="E5" s="85"/>
      <c r="F5" s="86"/>
      <c r="G5" s="85"/>
      <c r="H5" s="85"/>
      <c r="I5" s="86"/>
      <c r="J5" s="87"/>
      <c r="K5" s="88"/>
      <c r="L5" s="85"/>
      <c r="M5" s="601"/>
      <c r="N5" s="602"/>
      <c r="O5" s="527"/>
      <c r="P5" s="527"/>
      <c r="Q5" s="527"/>
      <c r="R5" s="527"/>
      <c r="S5" s="527"/>
      <c r="T5" s="527"/>
      <c r="U5" s="527"/>
      <c r="V5" s="527"/>
      <c r="W5" s="527"/>
      <c r="X5" s="527"/>
      <c r="Y5" s="527"/>
      <c r="Z5" s="527"/>
      <c r="AA5" s="527"/>
      <c r="AB5" s="527"/>
      <c r="AC5" s="527"/>
      <c r="AD5" s="527"/>
      <c r="AE5" s="527"/>
      <c r="AF5" s="527"/>
    </row>
    <row r="6" spans="1:56" ht="21" customHeight="1" thickBot="1">
      <c r="B6" s="89"/>
      <c r="D6" s="91"/>
      <c r="E6" s="91"/>
      <c r="F6" s="91"/>
      <c r="G6" s="92"/>
      <c r="H6" s="92"/>
      <c r="I6" s="93"/>
      <c r="J6" s="93"/>
      <c r="K6" s="92"/>
      <c r="L6" s="92"/>
      <c r="M6" s="92"/>
      <c r="N6" s="89"/>
      <c r="O6" s="527"/>
      <c r="P6" s="527"/>
      <c r="Q6" s="527"/>
      <c r="R6" s="527"/>
      <c r="S6" s="527"/>
      <c r="T6" s="527"/>
      <c r="U6" s="527"/>
      <c r="V6" s="527"/>
      <c r="W6" s="527"/>
      <c r="X6" s="527"/>
      <c r="Y6" s="527"/>
      <c r="Z6" s="527"/>
      <c r="AA6" s="527"/>
      <c r="AB6" s="527"/>
      <c r="AC6" s="527"/>
      <c r="AD6" s="527"/>
      <c r="AE6" s="527"/>
      <c r="AF6" s="527"/>
    </row>
    <row r="7" spans="1:56" s="104" customFormat="1" ht="18" customHeight="1" thickBot="1">
      <c r="A7" s="94" t="s">
        <v>14</v>
      </c>
      <c r="B7" s="95"/>
      <c r="C7" s="95"/>
      <c r="D7" s="96"/>
      <c r="E7" s="97" t="s">
        <v>15</v>
      </c>
      <c r="F7" s="98"/>
      <c r="G7" s="99" t="s">
        <v>16</v>
      </c>
      <c r="H7" s="593" t="s">
        <v>252</v>
      </c>
      <c r="I7" s="593"/>
      <c r="J7" s="603" t="s">
        <v>222</v>
      </c>
      <c r="K7" s="603"/>
      <c r="L7" s="603"/>
      <c r="M7" s="593" t="s">
        <v>252</v>
      </c>
      <c r="N7" s="604"/>
      <c r="O7" s="528"/>
      <c r="P7" s="528"/>
      <c r="Q7" s="528"/>
      <c r="R7" s="528"/>
      <c r="S7" s="528"/>
      <c r="T7" s="528"/>
      <c r="U7" s="528"/>
      <c r="V7" s="528"/>
      <c r="W7" s="528"/>
      <c r="X7" s="528"/>
      <c r="Y7" s="528"/>
      <c r="Z7" s="528"/>
      <c r="AA7" s="528"/>
      <c r="AB7" s="528"/>
      <c r="AC7" s="528"/>
      <c r="AD7" s="528"/>
      <c r="AE7" s="528"/>
      <c r="AF7" s="528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1"/>
      <c r="BB7" s="101"/>
      <c r="BC7" s="101"/>
      <c r="BD7" s="101"/>
    </row>
    <row r="8" spans="1:56" s="104" customFormat="1" ht="18" customHeight="1" thickBot="1">
      <c r="A8" s="105" t="s">
        <v>17</v>
      </c>
      <c r="B8" s="99"/>
      <c r="C8" s="593" t="s">
        <v>18</v>
      </c>
      <c r="D8" s="594"/>
      <c r="E8" s="106" t="s">
        <v>19</v>
      </c>
      <c r="F8" s="107"/>
      <c r="G8" s="108" t="s">
        <v>20</v>
      </c>
      <c r="H8" s="595"/>
      <c r="I8" s="595"/>
      <c r="J8" s="609" t="s">
        <v>223</v>
      </c>
      <c r="K8" s="609"/>
      <c r="L8" s="609"/>
      <c r="M8" s="605"/>
      <c r="N8" s="606"/>
      <c r="O8" s="528"/>
      <c r="P8" s="528"/>
      <c r="Q8" s="528"/>
      <c r="R8" s="528"/>
      <c r="S8" s="528"/>
      <c r="T8" s="528"/>
      <c r="U8" s="528"/>
      <c r="V8" s="528"/>
      <c r="W8" s="528"/>
      <c r="X8" s="528"/>
      <c r="Y8" s="528"/>
      <c r="Z8" s="528"/>
      <c r="AA8" s="528"/>
      <c r="AB8" s="528"/>
      <c r="AC8" s="528"/>
      <c r="AD8" s="528"/>
      <c r="AE8" s="528"/>
      <c r="AF8" s="528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1"/>
      <c r="BB8" s="101"/>
      <c r="BC8" s="101"/>
      <c r="BD8" s="101"/>
    </row>
    <row r="9" spans="1:56" s="104" customFormat="1" ht="18" customHeight="1" thickBot="1">
      <c r="A9" s="390" t="s">
        <v>21</v>
      </c>
      <c r="B9" s="391"/>
      <c r="C9" s="607"/>
      <c r="D9" s="608"/>
      <c r="E9" s="109" t="s">
        <v>22</v>
      </c>
      <c r="F9" s="610">
        <f>RESUM!B10</f>
        <v>6</v>
      </c>
      <c r="G9" s="110" t="s">
        <v>23</v>
      </c>
      <c r="H9" s="100"/>
      <c r="I9" s="611">
        <f>RESUM!B19</f>
        <v>13.89</v>
      </c>
      <c r="J9" s="612"/>
      <c r="K9" s="111" t="s">
        <v>24</v>
      </c>
      <c r="M9" s="615">
        <v>2275</v>
      </c>
      <c r="N9" s="616"/>
      <c r="O9" s="528"/>
      <c r="P9" s="529" t="s">
        <v>244</v>
      </c>
      <c r="Q9" s="528"/>
      <c r="R9" s="530"/>
      <c r="S9" s="530" t="s">
        <v>32</v>
      </c>
      <c r="T9" s="530"/>
      <c r="U9" s="528"/>
      <c r="V9" s="528"/>
      <c r="W9" s="528"/>
      <c r="X9" s="528"/>
      <c r="Y9" s="528"/>
      <c r="Z9" s="528"/>
      <c r="AA9" s="528"/>
      <c r="AB9" s="528"/>
      <c r="AC9" s="528"/>
      <c r="AD9" s="528"/>
      <c r="AE9" s="528"/>
      <c r="AF9" s="528"/>
      <c r="AG9" s="102"/>
      <c r="AH9" s="102"/>
      <c r="AI9" s="102"/>
      <c r="AJ9" s="102"/>
      <c r="AK9" s="102"/>
      <c r="AL9" s="161"/>
      <c r="AM9" s="161"/>
      <c r="AN9" s="161"/>
      <c r="AO9" s="162"/>
      <c r="AP9" s="161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1"/>
      <c r="BB9" s="101"/>
      <c r="BC9" s="101"/>
      <c r="BD9" s="101"/>
    </row>
    <row r="10" spans="1:56" s="104" customFormat="1" ht="18" customHeight="1" thickBot="1">
      <c r="A10" s="110" t="s">
        <v>25</v>
      </c>
      <c r="B10" s="98"/>
      <c r="C10" s="100"/>
      <c r="D10" s="392"/>
      <c r="E10" s="112" t="s">
        <v>26</v>
      </c>
      <c r="F10" s="596"/>
      <c r="G10" s="619" t="s">
        <v>27</v>
      </c>
      <c r="H10" s="620"/>
      <c r="I10" s="613"/>
      <c r="J10" s="614"/>
      <c r="K10" s="114" t="s">
        <v>28</v>
      </c>
      <c r="L10" s="115"/>
      <c r="M10" s="617"/>
      <c r="N10" s="618"/>
      <c r="O10" s="528"/>
      <c r="P10" s="529" t="s">
        <v>245</v>
      </c>
      <c r="Q10" s="531">
        <v>1</v>
      </c>
      <c r="R10" s="528"/>
      <c r="S10" s="532" t="s">
        <v>39</v>
      </c>
      <c r="T10" s="530"/>
      <c r="U10" s="528"/>
      <c r="V10" s="528"/>
      <c r="W10" s="528"/>
      <c r="X10" s="528"/>
      <c r="Y10" s="528"/>
      <c r="Z10" s="528"/>
      <c r="AA10" s="528"/>
      <c r="AB10" s="528"/>
      <c r="AC10" s="528"/>
      <c r="AD10" s="528"/>
      <c r="AE10" s="528"/>
      <c r="AF10" s="528"/>
      <c r="AG10" s="102"/>
      <c r="AH10" s="102"/>
      <c r="AI10" s="102"/>
      <c r="AJ10" s="102"/>
      <c r="AK10" s="102"/>
      <c r="AL10" s="161"/>
      <c r="AM10" s="161"/>
      <c r="AN10" s="161"/>
      <c r="AO10" s="162"/>
      <c r="AP10" s="161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1"/>
      <c r="BB10" s="101"/>
      <c r="BC10" s="101"/>
      <c r="BD10" s="101"/>
    </row>
    <row r="11" spans="1:56" s="104" customFormat="1" ht="18" customHeight="1">
      <c r="A11" s="116" t="s">
        <v>29</v>
      </c>
      <c r="B11" s="117"/>
      <c r="C11" s="621" t="str">
        <f>IF($Q$10=1,P11,IF($Q$10=2,Q11,""))</f>
        <v>4 KW</v>
      </c>
      <c r="D11" s="622"/>
      <c r="E11" s="118" t="s">
        <v>30</v>
      </c>
      <c r="F11" s="119"/>
      <c r="G11" s="610" t="s">
        <v>254</v>
      </c>
      <c r="H11" s="120" t="s">
        <v>31</v>
      </c>
      <c r="I11" s="100"/>
      <c r="J11" s="121" t="s">
        <v>32</v>
      </c>
      <c r="K11" s="122" t="s">
        <v>33</v>
      </c>
      <c r="L11" s="110" t="s">
        <v>34</v>
      </c>
      <c r="M11" s="97"/>
      <c r="N11" s="624" t="s">
        <v>253</v>
      </c>
      <c r="O11" s="528"/>
      <c r="P11" s="533" t="s">
        <v>246</v>
      </c>
      <c r="Q11" s="533" t="s">
        <v>246</v>
      </c>
      <c r="R11" s="528"/>
      <c r="S11" s="530"/>
      <c r="T11" s="530"/>
      <c r="U11" s="528"/>
      <c r="V11" s="528"/>
      <c r="W11" s="528"/>
      <c r="X11" s="528"/>
      <c r="Y11" s="528"/>
      <c r="Z11" s="528"/>
      <c r="AA11" s="528"/>
      <c r="AB11" s="528"/>
      <c r="AC11" s="528"/>
      <c r="AD11" s="528"/>
      <c r="AE11" s="528"/>
      <c r="AF11" s="528"/>
      <c r="AG11" s="102"/>
      <c r="AH11" s="102"/>
      <c r="AI11" s="102"/>
      <c r="AJ11" s="102"/>
      <c r="AK11" s="102"/>
      <c r="AL11" s="161"/>
      <c r="AM11" s="161"/>
      <c r="AN11" s="162"/>
      <c r="AO11" s="161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1"/>
      <c r="BB11" s="101"/>
      <c r="BC11" s="101"/>
      <c r="BD11" s="101"/>
    </row>
    <row r="12" spans="1:56" s="104" customFormat="1" ht="18" customHeight="1" thickBot="1">
      <c r="A12" s="116" t="s">
        <v>36</v>
      </c>
      <c r="B12" s="117"/>
      <c r="C12" s="621" t="str">
        <f>IF($Q$10=1,P12,IF($Q$10=2,Q12,""))</f>
        <v>7,4 A</v>
      </c>
      <c r="D12" s="622"/>
      <c r="E12" s="123" t="s">
        <v>37</v>
      </c>
      <c r="F12" s="124"/>
      <c r="G12" s="623"/>
      <c r="H12" s="125" t="s">
        <v>38</v>
      </c>
      <c r="I12" s="113"/>
      <c r="J12" s="124" t="s">
        <v>39</v>
      </c>
      <c r="K12" s="126" t="s">
        <v>40</v>
      </c>
      <c r="L12" s="127" t="s">
        <v>41</v>
      </c>
      <c r="M12" s="109"/>
      <c r="N12" s="625"/>
      <c r="O12" s="528"/>
      <c r="P12" s="533" t="s">
        <v>247</v>
      </c>
      <c r="Q12" s="533" t="s">
        <v>247</v>
      </c>
      <c r="R12" s="528"/>
      <c r="S12" s="530"/>
      <c r="T12" s="530"/>
      <c r="U12" s="528"/>
      <c r="V12" s="528"/>
      <c r="W12" s="528"/>
      <c r="X12" s="528"/>
      <c r="Y12" s="528"/>
      <c r="Z12" s="528"/>
      <c r="AA12" s="528"/>
      <c r="AB12" s="528"/>
      <c r="AC12" s="528"/>
      <c r="AD12" s="528"/>
      <c r="AE12" s="528"/>
      <c r="AF12" s="528"/>
      <c r="AG12" s="102"/>
      <c r="AH12" s="102"/>
      <c r="AI12" s="102"/>
      <c r="AJ12" s="102"/>
      <c r="AK12" s="102"/>
      <c r="AL12" s="161"/>
      <c r="AM12" s="161"/>
      <c r="AN12" s="162"/>
      <c r="AO12" s="161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1"/>
      <c r="BB12" s="101"/>
      <c r="BC12" s="101"/>
      <c r="BD12" s="101"/>
    </row>
    <row r="13" spans="1:56" s="104" customFormat="1" ht="18" customHeight="1">
      <c r="A13" s="116" t="s">
        <v>42</v>
      </c>
      <c r="B13" s="117"/>
      <c r="C13" s="621" t="str">
        <f>IF($Q$10=1,P13,IF($Q$10=2,Q13,""))</f>
        <v>2925rpm</v>
      </c>
      <c r="D13" s="622"/>
      <c r="E13" s="128" t="s">
        <v>43</v>
      </c>
      <c r="F13" s="115"/>
      <c r="G13" s="626" t="s">
        <v>255</v>
      </c>
      <c r="H13" s="627"/>
      <c r="I13" s="129" t="s">
        <v>44</v>
      </c>
      <c r="J13" s="130"/>
      <c r="K13" s="130"/>
      <c r="L13" s="630">
        <v>4000</v>
      </c>
      <c r="M13" s="630"/>
      <c r="N13" s="631"/>
      <c r="O13" s="528"/>
      <c r="P13" s="530" t="s">
        <v>248</v>
      </c>
      <c r="Q13" s="530" t="s">
        <v>249</v>
      </c>
      <c r="R13" s="528"/>
      <c r="S13" s="530"/>
      <c r="T13" s="530"/>
      <c r="U13" s="528"/>
      <c r="V13" s="528"/>
      <c r="W13" s="528"/>
      <c r="X13" s="528"/>
      <c r="Y13" s="528"/>
      <c r="Z13" s="528"/>
      <c r="AA13" s="528"/>
      <c r="AB13" s="528"/>
      <c r="AC13" s="528"/>
      <c r="AD13" s="528"/>
      <c r="AE13" s="528"/>
      <c r="AF13" s="528"/>
      <c r="AG13" s="102"/>
      <c r="AH13" s="102"/>
      <c r="AI13" s="102"/>
      <c r="AJ13" s="102"/>
      <c r="AK13" s="102"/>
      <c r="AL13" s="161"/>
      <c r="AM13" s="161"/>
      <c r="AN13" s="162"/>
      <c r="AO13" s="161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102"/>
      <c r="BA13" s="101"/>
      <c r="BB13" s="101"/>
      <c r="BC13" s="101"/>
      <c r="BD13" s="101"/>
    </row>
    <row r="14" spans="1:56" s="104" customFormat="1" ht="18" customHeight="1" thickBot="1">
      <c r="A14" s="116" t="s">
        <v>45</v>
      </c>
      <c r="C14" s="621" t="str">
        <f>IF($Q$10=1,P14,IF($Q$10=2,Q14,""))</f>
        <v xml:space="preserve">4000 m3/h </v>
      </c>
      <c r="D14" s="622"/>
      <c r="E14" s="131" t="s">
        <v>46</v>
      </c>
      <c r="F14" s="132"/>
      <c r="G14" s="628"/>
      <c r="H14" s="629"/>
      <c r="I14" s="133" t="s">
        <v>47</v>
      </c>
      <c r="J14" s="132"/>
      <c r="K14" s="132"/>
      <c r="L14" s="632"/>
      <c r="M14" s="632"/>
      <c r="N14" s="633"/>
      <c r="O14" s="528"/>
      <c r="P14" s="530" t="s">
        <v>250</v>
      </c>
      <c r="Q14" s="530" t="s">
        <v>250</v>
      </c>
      <c r="R14" s="528"/>
      <c r="S14" s="530"/>
      <c r="T14" s="530"/>
      <c r="U14" s="528"/>
      <c r="V14" s="528"/>
      <c r="W14" s="528"/>
      <c r="X14" s="528"/>
      <c r="Y14" s="528"/>
      <c r="Z14" s="528"/>
      <c r="AA14" s="528"/>
      <c r="AB14" s="528"/>
      <c r="AC14" s="528"/>
      <c r="AD14" s="528"/>
      <c r="AE14" s="528"/>
      <c r="AF14" s="528"/>
      <c r="AG14" s="102"/>
      <c r="AH14" s="102"/>
      <c r="AI14" s="102"/>
      <c r="AJ14" s="102"/>
      <c r="AK14" s="102"/>
      <c r="AL14" s="161"/>
      <c r="AM14" s="161"/>
      <c r="AN14" s="162"/>
      <c r="AO14" s="161"/>
      <c r="AP14" s="102"/>
      <c r="AQ14" s="102"/>
      <c r="AR14" s="102"/>
      <c r="AS14" s="102"/>
      <c r="AT14" s="102"/>
      <c r="AU14" s="102"/>
      <c r="AV14" s="102"/>
      <c r="AW14" s="102"/>
      <c r="AX14" s="102"/>
      <c r="AY14" s="102"/>
      <c r="AZ14" s="102"/>
      <c r="BA14" s="101"/>
      <c r="BB14" s="101"/>
      <c r="BC14" s="101"/>
      <c r="BD14" s="101"/>
    </row>
    <row r="15" spans="1:56" s="104" customFormat="1" ht="18" customHeight="1" thickBot="1">
      <c r="A15" s="134" t="s">
        <v>48</v>
      </c>
      <c r="B15" s="113"/>
      <c r="C15" s="634" t="str">
        <f>IF($Q$10=1,P15,IF($Q$10=2,Q15,""))</f>
        <v xml:space="preserve">2450 Pa </v>
      </c>
      <c r="D15" s="635"/>
      <c r="E15" s="97" t="s">
        <v>49</v>
      </c>
      <c r="F15" s="594" t="s">
        <v>50</v>
      </c>
      <c r="G15" s="110" t="s">
        <v>51</v>
      </c>
      <c r="I15" s="594" t="s">
        <v>52</v>
      </c>
      <c r="J15" s="110" t="s">
        <v>53</v>
      </c>
      <c r="K15" s="593" t="s">
        <v>261</v>
      </c>
      <c r="L15" s="403" t="s">
        <v>54</v>
      </c>
      <c r="M15" s="401"/>
      <c r="N15" s="636" t="s">
        <v>55</v>
      </c>
      <c r="O15" s="528"/>
      <c r="P15" s="530" t="s">
        <v>251</v>
      </c>
      <c r="Q15" s="530" t="s">
        <v>251</v>
      </c>
      <c r="R15" s="528"/>
      <c r="S15" s="530"/>
      <c r="T15" s="530"/>
      <c r="U15" s="528"/>
      <c r="V15" s="528"/>
      <c r="W15" s="528"/>
      <c r="X15" s="528"/>
      <c r="Y15" s="528"/>
      <c r="Z15" s="528"/>
      <c r="AA15" s="528"/>
      <c r="AB15" s="528"/>
      <c r="AC15" s="528"/>
      <c r="AD15" s="528"/>
      <c r="AE15" s="528"/>
      <c r="AF15" s="528"/>
      <c r="AG15" s="102"/>
      <c r="AH15" s="102"/>
      <c r="AI15" s="102"/>
      <c r="AJ15" s="102"/>
      <c r="AK15" s="102"/>
      <c r="AL15" s="161"/>
      <c r="AM15" s="161"/>
      <c r="AN15" s="162"/>
      <c r="AO15" s="161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1"/>
      <c r="BB15" s="101"/>
      <c r="BC15" s="101"/>
      <c r="BD15" s="101"/>
    </row>
    <row r="16" spans="1:56" s="104" customFormat="1" ht="18" customHeight="1" thickBot="1">
      <c r="A16" s="638" t="s">
        <v>56</v>
      </c>
      <c r="B16" s="639"/>
      <c r="C16" s="639"/>
      <c r="D16" s="640"/>
      <c r="E16" s="135" t="s">
        <v>57</v>
      </c>
      <c r="F16" s="596"/>
      <c r="G16" s="135" t="s">
        <v>58</v>
      </c>
      <c r="I16" s="596"/>
      <c r="J16" s="135" t="s">
        <v>59</v>
      </c>
      <c r="K16" s="595"/>
      <c r="L16" s="404" t="s">
        <v>60</v>
      </c>
      <c r="M16" s="401"/>
      <c r="N16" s="637"/>
      <c r="O16" s="528"/>
      <c r="P16" s="528"/>
      <c r="Q16" s="528"/>
      <c r="R16" s="528"/>
      <c r="S16" s="528"/>
      <c r="T16" s="528"/>
      <c r="U16" s="528"/>
      <c r="V16" s="528"/>
      <c r="W16" s="528"/>
      <c r="X16" s="528"/>
      <c r="Y16" s="528"/>
      <c r="Z16" s="528"/>
      <c r="AA16" s="528"/>
      <c r="AB16" s="528"/>
      <c r="AC16" s="528"/>
      <c r="AD16" s="528"/>
      <c r="AE16" s="528"/>
      <c r="AF16" s="528"/>
      <c r="AG16" s="102"/>
      <c r="AH16" s="102"/>
      <c r="AI16" s="102"/>
      <c r="AJ16" s="102"/>
      <c r="AK16" s="102"/>
      <c r="AL16" s="161"/>
      <c r="AM16" s="161"/>
      <c r="AN16" s="162"/>
      <c r="AO16" s="161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2"/>
      <c r="BA16" s="101"/>
      <c r="BB16" s="101"/>
      <c r="BC16" s="101"/>
      <c r="BD16" s="101"/>
    </row>
    <row r="17" spans="1:250" s="104" customFormat="1" ht="18" customHeight="1">
      <c r="A17" s="638"/>
      <c r="B17" s="639"/>
      <c r="C17" s="639"/>
      <c r="D17" s="640"/>
      <c r="E17" s="110" t="s">
        <v>61</v>
      </c>
      <c r="F17" s="593" t="s">
        <v>62</v>
      </c>
      <c r="G17" s="593"/>
      <c r="H17" s="594"/>
      <c r="I17" s="110" t="s">
        <v>63</v>
      </c>
      <c r="J17" s="100"/>
      <c r="K17" s="593" t="s">
        <v>263</v>
      </c>
      <c r="L17" s="593"/>
      <c r="M17" s="593"/>
      <c r="N17" s="594"/>
      <c r="O17" s="528"/>
      <c r="P17" s="528"/>
      <c r="Q17" s="528"/>
      <c r="R17" s="528"/>
      <c r="S17" s="528"/>
      <c r="T17" s="528"/>
      <c r="U17" s="528"/>
      <c r="V17" s="528"/>
      <c r="W17" s="528"/>
      <c r="X17" s="528"/>
      <c r="Y17" s="528"/>
      <c r="Z17" s="528"/>
      <c r="AA17" s="528"/>
      <c r="AB17" s="528"/>
      <c r="AC17" s="528"/>
      <c r="AD17" s="528"/>
      <c r="AE17" s="528"/>
      <c r="AF17" s="528"/>
      <c r="AG17" s="102"/>
      <c r="AH17" s="102"/>
      <c r="AI17" s="102"/>
      <c r="AJ17" s="102"/>
      <c r="AK17" s="102"/>
      <c r="AL17" s="161"/>
      <c r="AM17" s="161"/>
      <c r="AN17" s="162"/>
      <c r="AO17" s="161"/>
      <c r="AP17" s="102"/>
      <c r="AQ17" s="102"/>
      <c r="AR17" s="102"/>
      <c r="AS17" s="102"/>
      <c r="AT17" s="102"/>
      <c r="AU17" s="102"/>
      <c r="AV17" s="102"/>
      <c r="AW17" s="102"/>
      <c r="AX17" s="102"/>
      <c r="AY17" s="102"/>
      <c r="AZ17" s="102"/>
      <c r="BA17" s="101"/>
      <c r="BB17" s="101"/>
      <c r="BC17" s="101"/>
      <c r="BD17" s="101"/>
    </row>
    <row r="18" spans="1:250" s="104" customFormat="1" ht="18" customHeight="1" thickBot="1">
      <c r="A18" s="641"/>
      <c r="B18" s="642"/>
      <c r="C18" s="642"/>
      <c r="D18" s="643"/>
      <c r="E18" s="135" t="s">
        <v>64</v>
      </c>
      <c r="F18" s="595"/>
      <c r="G18" s="595"/>
      <c r="H18" s="596"/>
      <c r="I18" s="135" t="s">
        <v>65</v>
      </c>
      <c r="J18" s="113"/>
      <c r="K18" s="595"/>
      <c r="L18" s="595"/>
      <c r="M18" s="595"/>
      <c r="N18" s="596"/>
      <c r="O18" s="528"/>
      <c r="P18" s="528"/>
      <c r="Q18" s="528"/>
      <c r="R18" s="528"/>
      <c r="S18" s="528"/>
      <c r="T18" s="528"/>
      <c r="U18" s="528"/>
      <c r="V18" s="528"/>
      <c r="W18" s="528"/>
      <c r="X18" s="528"/>
      <c r="Y18" s="528"/>
      <c r="Z18" s="528"/>
      <c r="AA18" s="528"/>
      <c r="AB18" s="528"/>
      <c r="AC18" s="528"/>
      <c r="AD18" s="528"/>
      <c r="AE18" s="528"/>
      <c r="AF18" s="528"/>
      <c r="AG18" s="102"/>
      <c r="AH18" s="102"/>
      <c r="AI18" s="102"/>
      <c r="AJ18" s="102"/>
      <c r="AK18" s="102"/>
      <c r="AL18" s="161"/>
      <c r="AM18" s="161"/>
      <c r="AN18" s="162"/>
      <c r="AO18" s="161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1"/>
      <c r="BB18" s="101"/>
      <c r="BC18" s="101"/>
      <c r="BD18" s="101"/>
    </row>
    <row r="19" spans="1:250" s="104" customFormat="1" ht="18" customHeight="1">
      <c r="A19" s="110" t="s">
        <v>66</v>
      </c>
      <c r="B19" s="100"/>
      <c r="C19" s="624" t="s">
        <v>67</v>
      </c>
      <c r="D19" s="105" t="s">
        <v>265</v>
      </c>
      <c r="E19" s="99"/>
      <c r="F19" s="594" t="s">
        <v>266</v>
      </c>
      <c r="G19" s="469" t="s">
        <v>256</v>
      </c>
      <c r="H19" s="571"/>
      <c r="I19" s="571"/>
      <c r="J19" s="572"/>
      <c r="K19" s="471" t="s">
        <v>257</v>
      </c>
      <c r="L19" s="100"/>
      <c r="M19" s="573"/>
      <c r="N19" s="574"/>
      <c r="O19" s="528"/>
      <c r="P19" s="528"/>
      <c r="Q19" s="528"/>
      <c r="R19" s="528"/>
      <c r="S19" s="528"/>
      <c r="T19" s="528"/>
      <c r="U19" s="528"/>
      <c r="V19" s="528"/>
      <c r="W19" s="528"/>
      <c r="X19" s="528"/>
      <c r="Y19" s="528"/>
      <c r="Z19" s="528"/>
      <c r="AA19" s="528"/>
      <c r="AB19" s="528"/>
      <c r="AC19" s="528"/>
      <c r="AD19" s="528"/>
      <c r="AE19" s="528"/>
      <c r="AF19" s="528"/>
      <c r="AG19" s="102"/>
      <c r="AH19" s="102"/>
      <c r="AI19" s="102"/>
      <c r="AJ19" s="102"/>
      <c r="AK19" s="102"/>
      <c r="AL19" s="161"/>
      <c r="AM19" s="161"/>
      <c r="AN19" s="162"/>
      <c r="AO19" s="161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1"/>
      <c r="BB19" s="101"/>
      <c r="BC19" s="101"/>
      <c r="BD19" s="101"/>
    </row>
    <row r="20" spans="1:250" s="104" customFormat="1" ht="18" customHeight="1" thickBot="1">
      <c r="A20" s="135" t="s">
        <v>68</v>
      </c>
      <c r="B20" s="113"/>
      <c r="C20" s="625"/>
      <c r="D20" s="575" t="s">
        <v>267</v>
      </c>
      <c r="E20" s="576"/>
      <c r="F20" s="596"/>
      <c r="G20" s="475" t="s">
        <v>258</v>
      </c>
      <c r="H20" s="577"/>
      <c r="I20" s="577"/>
      <c r="J20" s="578"/>
      <c r="K20" s="476" t="s">
        <v>259</v>
      </c>
      <c r="L20" s="113"/>
      <c r="M20" s="579"/>
      <c r="N20" s="580"/>
      <c r="O20" s="528"/>
      <c r="P20" s="528"/>
      <c r="Q20" s="528"/>
      <c r="R20" s="528"/>
      <c r="S20" s="528"/>
      <c r="T20" s="528"/>
      <c r="U20" s="528"/>
      <c r="V20" s="528"/>
      <c r="W20" s="528"/>
      <c r="X20" s="528"/>
      <c r="Y20" s="528"/>
      <c r="Z20" s="528"/>
      <c r="AA20" s="528"/>
      <c r="AB20" s="528"/>
      <c r="AC20" s="528"/>
      <c r="AD20" s="528"/>
      <c r="AE20" s="528"/>
      <c r="AF20" s="528"/>
      <c r="AG20" s="102"/>
      <c r="AH20" s="102"/>
      <c r="AI20" s="102"/>
      <c r="AJ20" s="102"/>
      <c r="AK20" s="102"/>
      <c r="AL20" s="161"/>
      <c r="AM20" s="161"/>
      <c r="AN20" s="162"/>
      <c r="AO20" s="161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1"/>
      <c r="BB20" s="101"/>
      <c r="BC20" s="101"/>
      <c r="BD20" s="101"/>
    </row>
    <row r="21" spans="1:250" s="136" customFormat="1" ht="18" customHeight="1">
      <c r="A21" s="662" t="s">
        <v>69</v>
      </c>
      <c r="B21" s="663"/>
      <c r="C21" s="663"/>
      <c r="D21" s="663"/>
      <c r="E21" s="664" t="s">
        <v>70</v>
      </c>
      <c r="F21" s="644">
        <v>500</v>
      </c>
      <c r="G21" s="645"/>
      <c r="H21" s="662" t="s">
        <v>71</v>
      </c>
      <c r="I21" s="663"/>
      <c r="J21" s="663"/>
      <c r="K21" s="663"/>
      <c r="L21" s="664" t="s">
        <v>72</v>
      </c>
      <c r="M21" s="644">
        <v>500</v>
      </c>
      <c r="N21" s="645"/>
      <c r="O21" s="527"/>
      <c r="P21" s="527"/>
      <c r="Q21" s="527"/>
      <c r="R21" s="527"/>
      <c r="S21" s="527"/>
      <c r="T21" s="527"/>
      <c r="U21" s="527"/>
      <c r="V21" s="527"/>
      <c r="W21" s="527"/>
      <c r="X21" s="527"/>
      <c r="Y21" s="527"/>
      <c r="Z21" s="527"/>
      <c r="AA21" s="527"/>
      <c r="AB21" s="527"/>
      <c r="AC21" s="527"/>
      <c r="AD21" s="527"/>
      <c r="AE21" s="527"/>
      <c r="AF21" s="527"/>
      <c r="AG21" s="74"/>
      <c r="AH21" s="74"/>
      <c r="AI21" s="74"/>
      <c r="AJ21" s="74"/>
      <c r="AK21" s="74"/>
      <c r="AL21" s="290"/>
      <c r="AM21" s="290"/>
      <c r="AN21" s="290"/>
      <c r="AO21" s="291"/>
      <c r="AP21" s="290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420"/>
      <c r="BB21" s="420"/>
      <c r="BC21" s="420"/>
      <c r="BD21" s="420"/>
    </row>
    <row r="22" spans="1:250" s="136" customFormat="1" ht="18" customHeight="1" thickBot="1">
      <c r="A22" s="648" t="s">
        <v>73</v>
      </c>
      <c r="B22" s="649"/>
      <c r="C22" s="649"/>
      <c r="D22" s="649"/>
      <c r="E22" s="665"/>
      <c r="F22" s="646"/>
      <c r="G22" s="647"/>
      <c r="H22" s="648" t="s">
        <v>74</v>
      </c>
      <c r="I22" s="649"/>
      <c r="J22" s="649"/>
      <c r="K22" s="649"/>
      <c r="L22" s="665"/>
      <c r="M22" s="646"/>
      <c r="N22" s="647"/>
      <c r="O22" s="527"/>
      <c r="P22" s="527"/>
      <c r="Q22" s="527"/>
      <c r="R22" s="527"/>
      <c r="S22" s="527"/>
      <c r="T22" s="527"/>
      <c r="U22" s="527"/>
      <c r="V22" s="527"/>
      <c r="W22" s="527"/>
      <c r="X22" s="527"/>
      <c r="Y22" s="527"/>
      <c r="Z22" s="527"/>
      <c r="AA22" s="527"/>
      <c r="AB22" s="527"/>
      <c r="AC22" s="527"/>
      <c r="AD22" s="527"/>
      <c r="AE22" s="527"/>
      <c r="AF22" s="527"/>
      <c r="AG22" s="74"/>
      <c r="AH22" s="74"/>
      <c r="AI22" s="74"/>
      <c r="AJ22" s="74"/>
      <c r="AK22" s="74"/>
      <c r="AL22" s="290"/>
      <c r="AM22" s="290"/>
      <c r="AN22" s="290"/>
      <c r="AO22" s="291"/>
      <c r="AP22" s="290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420"/>
      <c r="BB22" s="420"/>
      <c r="BC22" s="420"/>
      <c r="BD22" s="420"/>
    </row>
    <row r="23" spans="1:250" s="136" customFormat="1" ht="18" customHeight="1" thickBot="1">
      <c r="B23" s="117"/>
      <c r="C23" s="117"/>
      <c r="D23" s="117"/>
      <c r="E23" s="117"/>
      <c r="F23" s="137" t="str">
        <f>IF(F21&gt;500," Vb   ha de ser / must be  &lt; 500 V"," ")</f>
        <v xml:space="preserve"> </v>
      </c>
      <c r="G23" s="138" t="str">
        <f>IF(M21&gt;500,"  Vc   ha de ser / must be   &lt; 500 V"," ")</f>
        <v xml:space="preserve"> </v>
      </c>
      <c r="H23" s="139"/>
      <c r="I23" s="140"/>
      <c r="J23" s="141"/>
      <c r="K23" s="140"/>
      <c r="L23" s="140"/>
      <c r="M23" s="139"/>
      <c r="N23" s="137" t="str">
        <f>IF(M21&lt;F21,"Vc   ha de ser / must be   &gt; Vb"," ")</f>
        <v xml:space="preserve"> </v>
      </c>
      <c r="O23" s="527"/>
      <c r="P23" s="527"/>
      <c r="Q23" s="527"/>
      <c r="R23" s="527"/>
      <c r="S23" s="527"/>
      <c r="T23" s="527"/>
      <c r="U23" s="527"/>
      <c r="V23" s="527"/>
      <c r="W23" s="527"/>
      <c r="X23" s="527"/>
      <c r="Y23" s="527"/>
      <c r="Z23" s="527"/>
      <c r="AA23" s="527"/>
      <c r="AB23" s="527"/>
      <c r="AC23" s="527"/>
      <c r="AD23" s="527"/>
      <c r="AE23" s="527"/>
      <c r="AF23" s="527"/>
      <c r="AG23" s="74"/>
      <c r="AH23" s="74"/>
      <c r="AI23" s="74"/>
      <c r="AJ23" s="74"/>
      <c r="AK23" s="74"/>
      <c r="AL23" s="290"/>
      <c r="AM23" s="290"/>
      <c r="AN23" s="291"/>
      <c r="AO23" s="290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420"/>
      <c r="BB23" s="420"/>
      <c r="BC23" s="420"/>
      <c r="BD23" s="420"/>
    </row>
    <row r="24" spans="1:250" s="136" customFormat="1" ht="18" customHeight="1">
      <c r="B24" s="650" t="s">
        <v>75</v>
      </c>
      <c r="C24" s="651"/>
      <c r="D24" s="651"/>
      <c r="E24" s="651"/>
      <c r="F24" s="654" t="s">
        <v>76</v>
      </c>
      <c r="G24" s="142"/>
      <c r="H24" s="656" t="s">
        <v>77</v>
      </c>
      <c r="I24" s="657"/>
      <c r="J24" s="657"/>
      <c r="K24" s="657"/>
      <c r="L24" s="660">
        <v>0.4</v>
      </c>
      <c r="M24" s="143" t="str">
        <f>IF(L24&gt;80%,"max 80%","")</f>
        <v/>
      </c>
      <c r="N24" s="144"/>
      <c r="O24" s="527"/>
      <c r="P24" s="527"/>
      <c r="Q24" s="527"/>
      <c r="R24" s="527"/>
      <c r="S24" s="527"/>
      <c r="T24" s="527"/>
      <c r="U24" s="527"/>
      <c r="V24" s="527"/>
      <c r="W24" s="527"/>
      <c r="X24" s="527"/>
      <c r="Y24" s="527"/>
      <c r="Z24" s="527"/>
      <c r="AA24" s="527"/>
      <c r="AB24" s="527"/>
      <c r="AC24" s="527"/>
      <c r="AD24" s="527"/>
      <c r="AE24" s="527"/>
      <c r="AF24" s="527"/>
      <c r="AG24" s="74"/>
      <c r="AH24" s="74"/>
      <c r="AI24" s="74"/>
      <c r="AJ24" s="74"/>
      <c r="AK24" s="74"/>
      <c r="AL24" s="290"/>
      <c r="AM24" s="290"/>
      <c r="AN24" s="291"/>
      <c r="AO24" s="290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420"/>
      <c r="BB24" s="420"/>
      <c r="BC24" s="420"/>
      <c r="BD24" s="420"/>
    </row>
    <row r="25" spans="1:250" s="136" customFormat="1" ht="18" customHeight="1" thickBot="1">
      <c r="A25" s="107"/>
      <c r="B25" s="652"/>
      <c r="C25" s="653"/>
      <c r="D25" s="653"/>
      <c r="E25" s="653"/>
      <c r="F25" s="655"/>
      <c r="G25" s="145"/>
      <c r="H25" s="658"/>
      <c r="I25" s="659"/>
      <c r="J25" s="659"/>
      <c r="K25" s="659"/>
      <c r="L25" s="661"/>
      <c r="M25" s="146" t="str">
        <f>IF(L24&lt;20%,"min 20%","")</f>
        <v/>
      </c>
      <c r="N25" s="85"/>
      <c r="O25" s="527"/>
      <c r="P25" s="527"/>
      <c r="Q25" s="527"/>
      <c r="R25" s="527"/>
      <c r="S25" s="527"/>
      <c r="T25" s="527"/>
      <c r="U25" s="527"/>
      <c r="V25" s="527"/>
      <c r="W25" s="527"/>
      <c r="X25" s="527"/>
      <c r="Y25" s="527"/>
      <c r="Z25" s="527"/>
      <c r="AA25" s="527"/>
      <c r="AB25" s="527"/>
      <c r="AC25" s="527"/>
      <c r="AD25" s="527"/>
      <c r="AE25" s="527"/>
      <c r="AF25" s="527"/>
      <c r="AG25" s="74"/>
      <c r="AH25" s="74"/>
      <c r="AI25" s="74"/>
      <c r="AJ25" s="74"/>
      <c r="AK25" s="74"/>
      <c r="AL25" s="290"/>
      <c r="AM25" s="291"/>
      <c r="AN25" s="290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420"/>
      <c r="BB25" s="420"/>
      <c r="BC25" s="420"/>
      <c r="BD25" s="420"/>
    </row>
    <row r="26" spans="1:250" s="153" customFormat="1" ht="108" customHeight="1" thickBot="1">
      <c r="A26" s="147" t="s">
        <v>78</v>
      </c>
      <c r="B26" s="148" t="s">
        <v>79</v>
      </c>
      <c r="C26" s="149" t="s">
        <v>80</v>
      </c>
      <c r="D26" s="148" t="s">
        <v>81</v>
      </c>
      <c r="E26" s="150" t="s">
        <v>82</v>
      </c>
      <c r="F26" s="151" t="s">
        <v>83</v>
      </c>
      <c r="G26" s="149" t="s">
        <v>84</v>
      </c>
      <c r="H26" s="151" t="s">
        <v>79</v>
      </c>
      <c r="I26" s="149" t="s">
        <v>85</v>
      </c>
      <c r="J26" s="148" t="s">
        <v>81</v>
      </c>
      <c r="K26" s="150" t="s">
        <v>82</v>
      </c>
      <c r="L26" s="151" t="s">
        <v>83</v>
      </c>
      <c r="M26" s="149" t="s">
        <v>84</v>
      </c>
      <c r="N26" s="152" t="s">
        <v>86</v>
      </c>
      <c r="O26" s="534" t="s">
        <v>87</v>
      </c>
      <c r="P26" s="534" t="s">
        <v>88</v>
      </c>
      <c r="Q26" s="535" t="s">
        <v>83</v>
      </c>
      <c r="R26" s="536" t="s">
        <v>82</v>
      </c>
      <c r="S26" s="534" t="s">
        <v>89</v>
      </c>
      <c r="T26" s="537"/>
      <c r="U26" s="534" t="s">
        <v>90</v>
      </c>
      <c r="V26" s="534" t="s">
        <v>91</v>
      </c>
      <c r="W26" s="534" t="s">
        <v>92</v>
      </c>
      <c r="X26" s="534" t="s">
        <v>93</v>
      </c>
      <c r="Y26" s="534" t="s">
        <v>94</v>
      </c>
      <c r="Z26" s="534" t="s">
        <v>95</v>
      </c>
      <c r="AA26" s="534" t="s">
        <v>96</v>
      </c>
      <c r="AB26" s="534" t="s">
        <v>97</v>
      </c>
      <c r="AC26" s="534" t="s">
        <v>98</v>
      </c>
      <c r="AD26" s="534" t="s">
        <v>229</v>
      </c>
      <c r="AE26" s="537"/>
      <c r="AF26" s="537"/>
      <c r="AG26" s="397"/>
      <c r="AH26" s="397"/>
      <c r="AI26" s="397"/>
      <c r="AJ26" s="397"/>
      <c r="AK26" s="398"/>
      <c r="AL26" s="399"/>
      <c r="AM26" s="398"/>
      <c r="AN26" s="397"/>
      <c r="AO26" s="397"/>
      <c r="AP26" s="397"/>
      <c r="AQ26" s="397"/>
      <c r="AR26" s="397"/>
      <c r="AS26" s="397"/>
      <c r="AT26" s="397"/>
      <c r="AU26" s="397"/>
      <c r="AV26" s="397"/>
      <c r="AW26" s="397"/>
      <c r="AX26" s="397"/>
      <c r="AY26" s="397"/>
      <c r="AZ26" s="397"/>
      <c r="BA26" s="421"/>
      <c r="BB26" s="421"/>
      <c r="BC26" s="421"/>
      <c r="BD26" s="421"/>
    </row>
    <row r="27" spans="1:250" s="104" customFormat="1" ht="18" customHeight="1">
      <c r="A27" s="569" t="str">
        <f>RESUM!B9</f>
        <v>A61</v>
      </c>
      <c r="B27" s="155">
        <f>RESUM!B11</f>
        <v>6200</v>
      </c>
      <c r="C27" s="431">
        <f>RESUM!B15</f>
        <v>423.59939306151637</v>
      </c>
      <c r="D27" s="433">
        <f t="shared" ref="D27:D33" si="0">E27*$B27*PI()/30000</f>
        <v>284.10427676061647</v>
      </c>
      <c r="E27" s="156">
        <f>(F27*120/$F$9-$S27)</f>
        <v>437.58</v>
      </c>
      <c r="F27" s="157">
        <f t="shared" ref="F27:F40" si="1">$Q27*$F$21/400</f>
        <v>22.5</v>
      </c>
      <c r="G27" s="158">
        <f t="shared" ref="G27:G33" si="2">IF(AC27&lt;$L$13,AC27,$L$13)</f>
        <v>710.29329316308031</v>
      </c>
      <c r="H27" s="156">
        <f t="shared" ref="H27:H40" si="3">IF(U27&lt;X27*0.95,U27,X27*0.95)</f>
        <v>9232.2637734617329</v>
      </c>
      <c r="I27" s="431">
        <f>MIN(V27:W27)</f>
        <v>610.4389003855722</v>
      </c>
      <c r="J27" s="435">
        <f t="shared" ref="J27:J40" si="4">MIN(Z27,H27*E27*PI()/30000)</f>
        <v>423.05251971332029</v>
      </c>
      <c r="K27" s="159">
        <f>MIN(E27,M27)</f>
        <v>437.58</v>
      </c>
      <c r="L27" s="160">
        <f t="shared" ref="L27:L40" si="5">(K27+S27*H27/B27)*$F$9/120</f>
        <v>22.803715452148346</v>
      </c>
      <c r="M27" s="158">
        <f>MIN($L$13,MAX(AB27,AA27))</f>
        <v>451.09655479626713</v>
      </c>
      <c r="N27" s="436">
        <f>RESUM!B32</f>
        <v>143.98229509386394</v>
      </c>
      <c r="O27" s="538">
        <f>'driving mode parameters'!B18</f>
        <v>0.92394432897304957</v>
      </c>
      <c r="P27" s="538">
        <f>'driving mode parameters'!B17</f>
        <v>0.83819681522193312</v>
      </c>
      <c r="Q27" s="539">
        <f>RESUM!B16</f>
        <v>18</v>
      </c>
      <c r="R27" s="540">
        <f>RESUM!B12</f>
        <v>347.58</v>
      </c>
      <c r="S27" s="539">
        <f>Q27*120/$F$9-R27</f>
        <v>12.420000000000016</v>
      </c>
      <c r="T27" s="528"/>
      <c r="U27" s="540">
        <f t="shared" ref="U27:U40" si="6">B27/((C27^2-N27^2)^0.5)*(V27^2-N27^2)^0.5</f>
        <v>9232.2637734617329</v>
      </c>
      <c r="V27" s="540">
        <f t="shared" ref="V27:V40" si="7">IF(AND($L$24&gt;=20%,$L$24&lt;=80%)=TRUE,((C27^2*0.9-N27^2*(1-$L$24))/$L$24)^0.5,0)</f>
        <v>610.4389003855722</v>
      </c>
      <c r="W27" s="540">
        <f>(((V27^2-N27^2)^0.5*X27/U27)^2+N27^2)^0.5</f>
        <v>893.396729876991</v>
      </c>
      <c r="X27" s="540">
        <f>X28</f>
        <v>13722.252236636758</v>
      </c>
      <c r="Y27" s="540">
        <f t="shared" ref="Y27:Y30" si="8">Y$32*F27/F$32*(B$32/B27)^0.5</f>
        <v>368.07886267923726</v>
      </c>
      <c r="Z27" s="540">
        <f t="shared" ref="Z27:Z40" si="9">X27*Y27*PI()/30000</f>
        <v>528.92597391110951</v>
      </c>
      <c r="AA27" s="540">
        <f>AC27*(D27/J27)^(1/AD27)</f>
        <v>451.09655479626713</v>
      </c>
      <c r="AB27" s="540">
        <f t="shared" ref="AB27:AB33" si="10">AC27*(B27*E27/AC27/H27)^(1/(1+AD27))</f>
        <v>443.844245660171</v>
      </c>
      <c r="AC27" s="541">
        <f>0.95*Y27*(Z27/D27)^(1/AD27)</f>
        <v>710.29329316308031</v>
      </c>
      <c r="AD27" s="528">
        <f>'limit 480V'!Z25</f>
        <v>0.877</v>
      </c>
      <c r="AE27" s="528"/>
      <c r="AF27" s="528"/>
      <c r="AG27" s="102"/>
      <c r="AH27" s="102"/>
      <c r="AI27" s="102"/>
      <c r="AJ27" s="102"/>
      <c r="AK27" s="161"/>
      <c r="AL27" s="161"/>
      <c r="AM27" s="161"/>
      <c r="AN27" s="162"/>
      <c r="AO27" s="161"/>
      <c r="AP27" s="102"/>
      <c r="AQ27" s="102"/>
      <c r="AR27" s="102"/>
      <c r="AS27" s="102"/>
      <c r="AT27" s="102"/>
      <c r="AU27" s="102"/>
      <c r="AV27" s="102"/>
      <c r="AW27" s="102"/>
      <c r="AX27" s="102"/>
      <c r="AY27" s="102"/>
      <c r="AZ27" s="102"/>
      <c r="BA27" s="101"/>
      <c r="BB27" s="101"/>
      <c r="BC27" s="101"/>
      <c r="BD27" s="101"/>
    </row>
    <row r="28" spans="1:250" s="104" customFormat="1" ht="18" customHeight="1">
      <c r="A28" s="569" t="str">
        <f>RESUM!C9</f>
        <v>B61</v>
      </c>
      <c r="B28" s="155">
        <f>RESUM!C11</f>
        <v>6200</v>
      </c>
      <c r="C28" s="431">
        <f>RESUM!C15</f>
        <v>466.18115901583298</v>
      </c>
      <c r="D28" s="433">
        <f t="shared" si="0"/>
        <v>316.47650410026716</v>
      </c>
      <c r="E28" s="156">
        <f t="shared" ref="E28:E40" si="11">(F28*120/$F$9-$S28)</f>
        <v>487.44</v>
      </c>
      <c r="F28" s="157">
        <f t="shared" si="1"/>
        <v>25</v>
      </c>
      <c r="G28" s="158">
        <f t="shared" si="2"/>
        <v>786.92591353620185</v>
      </c>
      <c r="H28" s="156">
        <f t="shared" si="3"/>
        <v>9236.3476163069299</v>
      </c>
      <c r="I28" s="431">
        <f t="shared" ref="I28:I40" si="12">MIN(V28:W28)</f>
        <v>673.30080869736332</v>
      </c>
      <c r="J28" s="433">
        <f t="shared" si="4"/>
        <v>471.46564584897618</v>
      </c>
      <c r="K28" s="156">
        <f t="shared" ref="K28:K36" si="13">IF(E28&lt;M28,E28,M28)</f>
        <v>487.44</v>
      </c>
      <c r="L28" s="157">
        <f t="shared" si="5"/>
        <v>25.3075526295227</v>
      </c>
      <c r="M28" s="158">
        <f t="shared" ref="M28:M40" si="14">MIN($L$13,MAX(AB28,AA28))</f>
        <v>499.51282184892239</v>
      </c>
      <c r="N28" s="437">
        <f>RESUM!C32</f>
        <v>154.15789590655314</v>
      </c>
      <c r="O28" s="538">
        <f>'driving mode parameters'!C18</f>
        <v>0.92986573663604488</v>
      </c>
      <c r="P28" s="538">
        <f>'driving mode parameters'!C17</f>
        <v>0.84301611832824452</v>
      </c>
      <c r="Q28" s="539">
        <f>RESUM!C16</f>
        <v>20</v>
      </c>
      <c r="R28" s="540">
        <f>RESUM!C12</f>
        <v>387.44</v>
      </c>
      <c r="S28" s="539">
        <f t="shared" ref="S28:S40" si="15">Q28*120/$F$9-R28</f>
        <v>12.560000000000002</v>
      </c>
      <c r="T28" s="528"/>
      <c r="U28" s="540">
        <f t="shared" si="6"/>
        <v>9236.3476163069299</v>
      </c>
      <c r="V28" s="540">
        <f t="shared" si="7"/>
        <v>673.30080869736332</v>
      </c>
      <c r="W28" s="540">
        <f t="shared" ref="W28:W40" si="16">(((V28^2-N28^2)^0.5*X28/U28)^2+N28^2)^0.5</f>
        <v>985.8644805248183</v>
      </c>
      <c r="X28" s="540">
        <f>X29</f>
        <v>13722.252236636758</v>
      </c>
      <c r="Y28" s="540">
        <f t="shared" si="8"/>
        <v>408.97651408804148</v>
      </c>
      <c r="Z28" s="540">
        <f t="shared" si="9"/>
        <v>587.69552656789972</v>
      </c>
      <c r="AA28" s="540">
        <f t="shared" ref="AA28:AA40" si="17">AC28*(D28/J28)^(1/AD28)</f>
        <v>499.51282184892239</v>
      </c>
      <c r="AB28" s="540">
        <f t="shared" si="10"/>
        <v>493.04409133500684</v>
      </c>
      <c r="AC28" s="541">
        <f t="shared" ref="AC28:AC40" si="18">0.95*Y28*(Z28/D28)^(1/AD28)</f>
        <v>786.92591353620185</v>
      </c>
      <c r="AD28" s="528">
        <f>AD27</f>
        <v>0.877</v>
      </c>
      <c r="AE28" s="528"/>
      <c r="AF28" s="528"/>
      <c r="AG28" s="102"/>
      <c r="AH28" s="102"/>
      <c r="AI28" s="102"/>
      <c r="AJ28" s="102"/>
      <c r="AK28" s="161"/>
      <c r="AL28" s="161"/>
      <c r="AM28" s="161"/>
      <c r="AN28" s="162"/>
      <c r="AO28" s="161"/>
      <c r="AP28" s="102"/>
      <c r="AQ28" s="102"/>
      <c r="AR28" s="102"/>
      <c r="AS28" s="102"/>
      <c r="AT28" s="102"/>
      <c r="AU28" s="102"/>
      <c r="AV28" s="102"/>
      <c r="AW28" s="102"/>
      <c r="AX28" s="102"/>
      <c r="AY28" s="102"/>
      <c r="AZ28" s="102"/>
      <c r="BA28" s="101"/>
      <c r="BB28" s="101"/>
      <c r="BC28" s="101"/>
      <c r="BD28" s="101"/>
    </row>
    <row r="29" spans="1:250" s="104" customFormat="1" ht="18" customHeight="1">
      <c r="A29" s="569" t="str">
        <f>RESUM!D9</f>
        <v>C61</v>
      </c>
      <c r="B29" s="155">
        <f>RESUM!D11</f>
        <v>6200</v>
      </c>
      <c r="C29" s="431">
        <f>RESUM!D15</f>
        <v>515.66082283735523</v>
      </c>
      <c r="D29" s="433">
        <f t="shared" si="0"/>
        <v>349.20972137976628</v>
      </c>
      <c r="E29" s="156">
        <f t="shared" si="11"/>
        <v>537.85599999999999</v>
      </c>
      <c r="F29" s="157">
        <f t="shared" si="1"/>
        <v>27.5</v>
      </c>
      <c r="G29" s="158">
        <f t="shared" si="2"/>
        <v>862.55087878113454</v>
      </c>
      <c r="H29" s="156">
        <f t="shared" si="3"/>
        <v>9227.8155472754024</v>
      </c>
      <c r="I29" s="431">
        <f t="shared" si="12"/>
        <v>741.32383009409136</v>
      </c>
      <c r="J29" s="433">
        <f t="shared" si="4"/>
        <v>519.74885422708371</v>
      </c>
      <c r="K29" s="156">
        <f t="shared" si="13"/>
        <v>537.85599999999999</v>
      </c>
      <c r="L29" s="157">
        <f t="shared" si="5"/>
        <v>27.796530580694458</v>
      </c>
      <c r="M29" s="158">
        <f t="shared" si="14"/>
        <v>548.09415652487883</v>
      </c>
      <c r="N29" s="437">
        <f>RESUM!D32</f>
        <v>180.23626791066553</v>
      </c>
      <c r="O29" s="538">
        <f>'driving mode parameters'!D18</f>
        <v>0.93532535513537984</v>
      </c>
      <c r="P29" s="538">
        <f>'driving mode parameters'!D17</f>
        <v>0.83604344993010016</v>
      </c>
      <c r="Q29" s="539">
        <f>RESUM!D16</f>
        <v>22</v>
      </c>
      <c r="R29" s="540">
        <f>RESUM!D12</f>
        <v>427.85599999999999</v>
      </c>
      <c r="S29" s="539">
        <f t="shared" si="15"/>
        <v>12.144000000000005</v>
      </c>
      <c r="T29" s="528"/>
      <c r="U29" s="540">
        <f t="shared" si="6"/>
        <v>9227.8155472754024</v>
      </c>
      <c r="V29" s="540">
        <f t="shared" si="7"/>
        <v>741.32383009409136</v>
      </c>
      <c r="W29" s="540">
        <f t="shared" si="16"/>
        <v>1084.3934143188139</v>
      </c>
      <c r="X29" s="540">
        <f>X30</f>
        <v>13722.252236636758</v>
      </c>
      <c r="Y29" s="540">
        <f t="shared" si="8"/>
        <v>449.87416549684559</v>
      </c>
      <c r="Z29" s="540">
        <f t="shared" si="9"/>
        <v>646.46507922468959</v>
      </c>
      <c r="AA29" s="540">
        <f t="shared" si="17"/>
        <v>548.09415652487883</v>
      </c>
      <c r="AB29" s="540">
        <f t="shared" si="10"/>
        <v>542.61560167511709</v>
      </c>
      <c r="AC29" s="541">
        <f t="shared" si="18"/>
        <v>862.55087878113454</v>
      </c>
      <c r="AD29" s="528">
        <f t="shared" ref="AD29:AD40" si="19">AD28</f>
        <v>0.877</v>
      </c>
      <c r="AE29" s="528"/>
      <c r="AF29" s="528"/>
      <c r="AG29" s="102"/>
      <c r="AH29" s="102"/>
      <c r="AI29" s="102"/>
      <c r="AJ29" s="102"/>
      <c r="AK29" s="161"/>
      <c r="AL29" s="161"/>
      <c r="AM29" s="161"/>
      <c r="AN29" s="162"/>
      <c r="AO29" s="161"/>
      <c r="AP29" s="102"/>
      <c r="AQ29" s="102"/>
      <c r="AR29" s="102"/>
      <c r="AS29" s="102"/>
      <c r="AT29" s="102"/>
      <c r="AU29" s="102"/>
      <c r="AV29" s="102"/>
      <c r="AW29" s="102"/>
      <c r="AX29" s="102"/>
      <c r="AY29" s="102"/>
      <c r="AZ29" s="102"/>
      <c r="BA29" s="101"/>
      <c r="BB29" s="101"/>
      <c r="BC29" s="101"/>
      <c r="BD29" s="101"/>
    </row>
    <row r="30" spans="1:250" s="104" customFormat="1" ht="18" customHeight="1">
      <c r="A30" s="569" t="str">
        <f>RESUM!E9</f>
        <v>D61</v>
      </c>
      <c r="B30" s="155">
        <f>RESUM!E11</f>
        <v>6200</v>
      </c>
      <c r="C30" s="431">
        <f>RESUM!E15</f>
        <v>580.25100352450102</v>
      </c>
      <c r="D30" s="433">
        <f t="shared" si="0"/>
        <v>397.83558568734344</v>
      </c>
      <c r="E30" s="156">
        <f t="shared" si="11"/>
        <v>612.75</v>
      </c>
      <c r="F30" s="157">
        <f t="shared" si="1"/>
        <v>31.25</v>
      </c>
      <c r="G30" s="158">
        <f t="shared" si="2"/>
        <v>977.34479211821611</v>
      </c>
      <c r="H30" s="156">
        <f t="shared" si="3"/>
        <v>9232.1267618952497</v>
      </c>
      <c r="I30" s="431">
        <f t="shared" si="12"/>
        <v>836.12359167683201</v>
      </c>
      <c r="J30" s="433">
        <f t="shared" si="4"/>
        <v>592.3981544287733</v>
      </c>
      <c r="K30" s="156">
        <f t="shared" si="13"/>
        <v>612.75</v>
      </c>
      <c r="L30" s="157">
        <f t="shared" si="5"/>
        <v>31.549544780913038</v>
      </c>
      <c r="M30" s="158">
        <f t="shared" si="14"/>
        <v>620.7074365116755</v>
      </c>
      <c r="N30" s="437">
        <f>RESUM!E32</f>
        <v>197.40415462803315</v>
      </c>
      <c r="O30" s="538">
        <f>'driving mode parameters'!E18</f>
        <v>0.94124180842571759</v>
      </c>
      <c r="P30" s="538">
        <f>'driving mode parameters'!E17</f>
        <v>0.84111598360676731</v>
      </c>
      <c r="Q30" s="539">
        <f>RESUM!E16</f>
        <v>25</v>
      </c>
      <c r="R30" s="540">
        <f>RESUM!E12</f>
        <v>487.75</v>
      </c>
      <c r="S30" s="539">
        <f t="shared" si="15"/>
        <v>12.25</v>
      </c>
      <c r="T30" s="528"/>
      <c r="U30" s="540">
        <f t="shared" si="6"/>
        <v>9232.1267618952497</v>
      </c>
      <c r="V30" s="540">
        <f t="shared" si="7"/>
        <v>836.12359167683201</v>
      </c>
      <c r="W30" s="540">
        <f t="shared" si="16"/>
        <v>1223.6740265866708</v>
      </c>
      <c r="X30" s="540">
        <f>X31</f>
        <v>13722.252236636758</v>
      </c>
      <c r="Y30" s="540">
        <f t="shared" si="8"/>
        <v>511.22064261005175</v>
      </c>
      <c r="Z30" s="540">
        <f t="shared" si="9"/>
        <v>734.61940820987434</v>
      </c>
      <c r="AA30" s="540">
        <f t="shared" si="17"/>
        <v>620.7074365116755</v>
      </c>
      <c r="AB30" s="540">
        <f t="shared" si="10"/>
        <v>616.45521522012302</v>
      </c>
      <c r="AC30" s="541">
        <f t="shared" si="18"/>
        <v>977.34479211821611</v>
      </c>
      <c r="AD30" s="528">
        <f t="shared" si="19"/>
        <v>0.877</v>
      </c>
      <c r="AE30" s="528"/>
      <c r="AF30" s="528"/>
      <c r="AG30" s="102"/>
      <c r="AH30" s="102"/>
      <c r="AI30" s="102"/>
      <c r="AJ30" s="102"/>
      <c r="AK30" s="161"/>
      <c r="AL30" s="161"/>
      <c r="AM30" s="161"/>
      <c r="AN30" s="162"/>
      <c r="AO30" s="161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1"/>
      <c r="BB30" s="101"/>
      <c r="BC30" s="101"/>
      <c r="BD30" s="101"/>
    </row>
    <row r="31" spans="1:250" s="104" customFormat="1" ht="18" customHeight="1">
      <c r="A31" s="569" t="str">
        <f>RESUM!F9</f>
        <v>E61</v>
      </c>
      <c r="B31" s="155">
        <f>RESUM!F11</f>
        <v>6200</v>
      </c>
      <c r="C31" s="431">
        <f>RESUM!F15</f>
        <v>666.63123576024145</v>
      </c>
      <c r="D31" s="433">
        <f t="shared" si="0"/>
        <v>462.5813388916082</v>
      </c>
      <c r="E31" s="156">
        <f t="shared" si="11"/>
        <v>712.47199999999998</v>
      </c>
      <c r="F31" s="157">
        <f t="shared" si="1"/>
        <v>36.25</v>
      </c>
      <c r="G31" s="158">
        <f t="shared" si="2"/>
        <v>1130.6686059713329</v>
      </c>
      <c r="H31" s="156">
        <f t="shared" si="3"/>
        <v>9237.3957464314117</v>
      </c>
      <c r="I31" s="431">
        <f t="shared" si="12"/>
        <v>963.36298461863407</v>
      </c>
      <c r="J31" s="433">
        <f t="shared" si="4"/>
        <v>689.20111165417586</v>
      </c>
      <c r="K31" s="156">
        <f t="shared" si="13"/>
        <v>712.47199999999998</v>
      </c>
      <c r="L31" s="157">
        <f t="shared" si="5"/>
        <v>36.556874950897523</v>
      </c>
      <c r="M31" s="158">
        <f t="shared" si="14"/>
        <v>717.61570601554217</v>
      </c>
      <c r="N31" s="437">
        <f>RESUM!F32</f>
        <v>218.8233229067647</v>
      </c>
      <c r="O31" s="538">
        <f>'driving mode parameters'!F18</f>
        <v>0.94667474402770002</v>
      </c>
      <c r="P31" s="538">
        <f>'driving mode parameters'!F17</f>
        <v>0.8463909812100231</v>
      </c>
      <c r="Q31" s="539">
        <f>RESUM!F16</f>
        <v>29</v>
      </c>
      <c r="R31" s="540">
        <f>RESUM!F12</f>
        <v>567.47199999999998</v>
      </c>
      <c r="S31" s="539">
        <f t="shared" si="15"/>
        <v>12.52800000000002</v>
      </c>
      <c r="T31" s="528"/>
      <c r="U31" s="540">
        <f t="shared" si="6"/>
        <v>9237.3957464314117</v>
      </c>
      <c r="V31" s="540">
        <f t="shared" si="7"/>
        <v>963.36298461863407</v>
      </c>
      <c r="W31" s="540">
        <f t="shared" si="16"/>
        <v>1410.753189744122</v>
      </c>
      <c r="X31" s="540">
        <f>X32</f>
        <v>13722.252236636758</v>
      </c>
      <c r="Y31" s="540">
        <f>Y$32*F31/F$32*(B$32/B31)^0.5</f>
        <v>593.01594542766009</v>
      </c>
      <c r="Z31" s="540">
        <f t="shared" si="9"/>
        <v>852.1585135234543</v>
      </c>
      <c r="AA31" s="540">
        <f t="shared" si="17"/>
        <v>717.61570601554217</v>
      </c>
      <c r="AB31" s="540">
        <f t="shared" si="10"/>
        <v>714.87071423783323</v>
      </c>
      <c r="AC31" s="541">
        <f t="shared" si="18"/>
        <v>1130.6686059713329</v>
      </c>
      <c r="AD31" s="528">
        <f t="shared" si="19"/>
        <v>0.877</v>
      </c>
      <c r="AE31" s="528"/>
      <c r="AF31" s="528"/>
      <c r="AG31" s="102"/>
      <c r="AH31" s="102"/>
      <c r="AI31" s="102"/>
      <c r="AJ31" s="102"/>
      <c r="AK31" s="161"/>
      <c r="AL31" s="161"/>
      <c r="AM31" s="161"/>
      <c r="AN31" s="162"/>
      <c r="AO31" s="161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01"/>
      <c r="BB31" s="101"/>
      <c r="BC31" s="101"/>
      <c r="BD31" s="101"/>
    </row>
    <row r="32" spans="1:250" s="466" customFormat="1" ht="18" customHeight="1">
      <c r="A32" s="570" t="str">
        <f>RESUM!G9</f>
        <v>F61</v>
      </c>
      <c r="B32" s="510">
        <f>RESUM!G11</f>
        <v>6200</v>
      </c>
      <c r="C32" s="511">
        <f>RESUM!G15</f>
        <v>777.67118882433817</v>
      </c>
      <c r="D32" s="512">
        <f t="shared" si="0"/>
        <v>543.74953730905247</v>
      </c>
      <c r="E32" s="513">
        <f t="shared" si="11"/>
        <v>837.48800000000006</v>
      </c>
      <c r="F32" s="514">
        <f t="shared" si="1"/>
        <v>42.5</v>
      </c>
      <c r="G32" s="515">
        <f t="shared" si="2"/>
        <v>1321.6848591302021</v>
      </c>
      <c r="H32" s="513">
        <f t="shared" si="3"/>
        <v>9238.1697518084457</v>
      </c>
      <c r="I32" s="511">
        <f t="shared" si="12"/>
        <v>1124.3078460672898</v>
      </c>
      <c r="J32" s="512">
        <f t="shared" si="4"/>
        <v>810.20169808521393</v>
      </c>
      <c r="K32" s="513">
        <f>IF($E$32&lt;$M$32,$E$32,$M$32)</f>
        <v>837.48800000000006</v>
      </c>
      <c r="L32" s="514">
        <f t="shared" si="5"/>
        <v>42.806561128505059</v>
      </c>
      <c r="M32" s="515">
        <f t="shared" si="14"/>
        <v>838.77026246831065</v>
      </c>
      <c r="N32" s="516">
        <f>RESUM!G32</f>
        <v>253.86340501447495</v>
      </c>
      <c r="O32" s="538">
        <f>'driving mode parameters'!G18</f>
        <v>0.95232517130615568</v>
      </c>
      <c r="P32" s="538">
        <f>'driving mode parameters'!G17</f>
        <v>0.84778747419475275</v>
      </c>
      <c r="Q32" s="539">
        <f>RESUM!G16</f>
        <v>34</v>
      </c>
      <c r="R32" s="540">
        <f>RESUM!G12</f>
        <v>667.48800000000006</v>
      </c>
      <c r="S32" s="539">
        <f t="shared" si="15"/>
        <v>12.511999999999944</v>
      </c>
      <c r="T32" s="528"/>
      <c r="U32" s="540">
        <f t="shared" si="6"/>
        <v>9238.1697518084457</v>
      </c>
      <c r="V32" s="540">
        <f t="shared" si="7"/>
        <v>1124.3078460672898</v>
      </c>
      <c r="W32" s="540">
        <f t="shared" si="16"/>
        <v>1646.5901243762389</v>
      </c>
      <c r="X32" s="540">
        <f>'limit 480V'!K27*0.95</f>
        <v>13722.252236636758</v>
      </c>
      <c r="Y32" s="540">
        <f>'limit 480V'!I27/'limit 480V'!Y27*M21</f>
        <v>695.26007394967041</v>
      </c>
      <c r="Z32" s="540">
        <f t="shared" si="9"/>
        <v>999.08239516542903</v>
      </c>
      <c r="AA32" s="540">
        <f t="shared" si="17"/>
        <v>838.77026246831065</v>
      </c>
      <c r="AB32" s="540">
        <f t="shared" si="10"/>
        <v>838.0868736782071</v>
      </c>
      <c r="AC32" s="541">
        <f>0.95*Y32*(Z32/D32)^(1/AD32)</f>
        <v>1321.6848591302021</v>
      </c>
      <c r="AD32" s="528">
        <f t="shared" si="19"/>
        <v>0.877</v>
      </c>
      <c r="AE32" s="528">
        <f>AB32*(J32/D32)^(1/2/AD32)</f>
        <v>1052.0381375513457</v>
      </c>
      <c r="AF32" s="528"/>
      <c r="AG32" s="528"/>
      <c r="AH32" s="528"/>
      <c r="AI32" s="528"/>
      <c r="AJ32" s="528"/>
      <c r="AK32" s="542"/>
      <c r="AL32" s="542"/>
      <c r="AM32" s="542"/>
      <c r="AN32" s="543"/>
      <c r="AO32" s="542"/>
      <c r="AP32" s="528"/>
      <c r="AQ32" s="528"/>
      <c r="AR32" s="528"/>
      <c r="AS32" s="528"/>
      <c r="AT32" s="528"/>
      <c r="AU32" s="528"/>
      <c r="AV32" s="528"/>
      <c r="AW32" s="528"/>
      <c r="AX32" s="528"/>
      <c r="AY32" s="528"/>
      <c r="AZ32" s="528"/>
      <c r="BA32" s="544"/>
      <c r="BB32" s="544"/>
      <c r="BC32" s="544"/>
      <c r="BD32" s="544"/>
      <c r="BE32" s="545"/>
      <c r="BF32" s="545"/>
      <c r="BG32" s="545"/>
      <c r="BH32" s="545"/>
      <c r="BI32" s="545"/>
      <c r="BJ32" s="545"/>
      <c r="BK32" s="545"/>
      <c r="BL32" s="545"/>
      <c r="BM32" s="545"/>
      <c r="BN32" s="545"/>
      <c r="BO32" s="545"/>
      <c r="BP32" s="545"/>
      <c r="BQ32" s="545"/>
      <c r="BR32" s="545"/>
      <c r="BS32" s="545"/>
      <c r="BT32" s="545"/>
      <c r="BU32" s="545"/>
      <c r="BV32" s="545"/>
      <c r="BW32" s="545"/>
      <c r="BX32" s="545"/>
      <c r="BY32" s="545"/>
      <c r="BZ32" s="545"/>
      <c r="CA32" s="545"/>
      <c r="CB32" s="545"/>
      <c r="CC32" s="545"/>
      <c r="CD32" s="545"/>
      <c r="CE32" s="545"/>
      <c r="CF32" s="545"/>
      <c r="CG32" s="545"/>
      <c r="CH32" s="545"/>
      <c r="CI32" s="545"/>
      <c r="CJ32" s="545"/>
      <c r="CK32" s="545"/>
      <c r="CL32" s="545"/>
      <c r="CM32" s="545"/>
      <c r="CN32" s="545"/>
      <c r="CO32" s="545"/>
      <c r="CP32" s="545"/>
      <c r="CQ32" s="545"/>
      <c r="CR32" s="545"/>
      <c r="CS32" s="545"/>
      <c r="CT32" s="545"/>
      <c r="CU32" s="545"/>
      <c r="CV32" s="545"/>
      <c r="CW32" s="545"/>
      <c r="CX32" s="545"/>
      <c r="CY32" s="545"/>
      <c r="CZ32" s="545"/>
      <c r="DA32" s="545"/>
      <c r="DB32" s="545"/>
      <c r="DC32" s="545"/>
      <c r="DD32" s="545"/>
      <c r="DE32" s="545"/>
      <c r="DF32" s="545"/>
      <c r="DG32" s="545"/>
      <c r="DH32" s="545"/>
      <c r="DI32" s="545"/>
      <c r="DJ32" s="545"/>
      <c r="DK32" s="545"/>
      <c r="DL32" s="545"/>
      <c r="DM32" s="545"/>
      <c r="DN32" s="545"/>
      <c r="DO32" s="545"/>
      <c r="DP32" s="545"/>
      <c r="DQ32" s="545"/>
      <c r="DR32" s="545"/>
      <c r="DS32" s="545"/>
      <c r="DT32" s="545"/>
      <c r="DU32" s="545"/>
      <c r="DV32" s="545"/>
      <c r="DW32" s="545"/>
      <c r="DX32" s="545"/>
      <c r="DY32" s="545"/>
      <c r="DZ32" s="545"/>
      <c r="EA32" s="545"/>
      <c r="EB32" s="545"/>
      <c r="EC32" s="545"/>
      <c r="ED32" s="545"/>
      <c r="EE32" s="545"/>
      <c r="EF32" s="545"/>
      <c r="EG32" s="545"/>
      <c r="EH32" s="545"/>
      <c r="EI32" s="545"/>
      <c r="EJ32" s="545"/>
      <c r="EK32" s="545"/>
      <c r="EL32" s="545"/>
      <c r="EM32" s="545"/>
      <c r="EN32" s="545"/>
      <c r="EO32" s="545"/>
      <c r="EP32" s="545"/>
      <c r="EQ32" s="545"/>
      <c r="ER32" s="545"/>
      <c r="ES32" s="545"/>
      <c r="ET32" s="545"/>
      <c r="EU32" s="545"/>
      <c r="EV32" s="545"/>
      <c r="EW32" s="545"/>
      <c r="EX32" s="545"/>
      <c r="EY32" s="545"/>
      <c r="EZ32" s="545"/>
      <c r="FA32" s="545"/>
      <c r="FB32" s="545"/>
      <c r="FC32" s="545"/>
      <c r="FD32" s="545"/>
      <c r="FE32" s="545"/>
      <c r="FF32" s="545"/>
      <c r="FG32" s="545"/>
      <c r="FH32" s="545"/>
      <c r="FI32" s="545"/>
      <c r="FJ32" s="545"/>
      <c r="FK32" s="545"/>
      <c r="FL32" s="545"/>
      <c r="FM32" s="545"/>
      <c r="FN32" s="545"/>
      <c r="FO32" s="545"/>
      <c r="FP32" s="545"/>
      <c r="FQ32" s="545"/>
      <c r="FR32" s="545"/>
      <c r="FS32" s="545"/>
      <c r="FT32" s="545"/>
      <c r="FU32" s="545"/>
      <c r="FV32" s="545"/>
      <c r="FW32" s="545"/>
      <c r="FX32" s="545"/>
      <c r="FY32" s="545"/>
      <c r="FZ32" s="545"/>
      <c r="GA32" s="545"/>
      <c r="GB32" s="545"/>
      <c r="GC32" s="545"/>
      <c r="GD32" s="545"/>
      <c r="GE32" s="545"/>
      <c r="GF32" s="545"/>
      <c r="GG32" s="545"/>
      <c r="GH32" s="545"/>
      <c r="GI32" s="545"/>
      <c r="GJ32" s="545"/>
      <c r="GK32" s="545"/>
      <c r="GL32" s="545"/>
      <c r="GM32" s="545"/>
      <c r="GN32" s="545"/>
      <c r="GO32" s="545"/>
      <c r="GP32" s="545"/>
      <c r="GQ32" s="545"/>
      <c r="GR32" s="545"/>
      <c r="GS32" s="545"/>
      <c r="GT32" s="545"/>
      <c r="GU32" s="545"/>
      <c r="GV32" s="545"/>
      <c r="GW32" s="545"/>
      <c r="GX32" s="545"/>
      <c r="GY32" s="545"/>
      <c r="GZ32" s="545"/>
      <c r="HA32" s="545"/>
      <c r="HB32" s="545"/>
      <c r="HC32" s="545"/>
      <c r="HD32" s="545"/>
      <c r="HE32" s="545"/>
      <c r="HF32" s="545"/>
      <c r="HG32" s="545"/>
      <c r="HH32" s="545"/>
      <c r="HI32" s="545"/>
      <c r="HJ32" s="545"/>
      <c r="HK32" s="545"/>
      <c r="HL32" s="545"/>
      <c r="HM32" s="545"/>
      <c r="HN32" s="545"/>
      <c r="HO32" s="545"/>
      <c r="HP32" s="545"/>
      <c r="HQ32" s="545"/>
      <c r="HR32" s="545"/>
      <c r="HS32" s="545"/>
      <c r="HT32" s="545"/>
      <c r="HU32" s="545"/>
      <c r="HV32" s="545"/>
      <c r="HW32" s="545"/>
      <c r="HX32" s="545"/>
      <c r="HY32" s="545"/>
      <c r="HZ32" s="545"/>
      <c r="IA32" s="545"/>
      <c r="IB32" s="545"/>
      <c r="IC32" s="545"/>
      <c r="ID32" s="545"/>
      <c r="IE32" s="545"/>
      <c r="IF32" s="545"/>
      <c r="IG32" s="545"/>
      <c r="IH32" s="545"/>
      <c r="II32" s="545"/>
      <c r="IJ32" s="545"/>
      <c r="IK32" s="545"/>
      <c r="IL32" s="545"/>
      <c r="IM32" s="545"/>
      <c r="IN32" s="545"/>
      <c r="IO32" s="545"/>
      <c r="IP32" s="545"/>
    </row>
    <row r="33" spans="1:200" s="104" customFormat="1" ht="18" customHeight="1">
      <c r="A33" s="569" t="str">
        <f>RESUM!H9</f>
        <v>C62</v>
      </c>
      <c r="B33" s="155">
        <f>RESUM!H11</f>
        <v>6200</v>
      </c>
      <c r="C33" s="431">
        <f>RESUM!H15</f>
        <v>891.29533660212417</v>
      </c>
      <c r="D33" s="433">
        <f t="shared" si="0"/>
        <v>625.18133629408385</v>
      </c>
      <c r="E33" s="156">
        <f t="shared" si="11"/>
        <v>962.91</v>
      </c>
      <c r="F33" s="157">
        <f t="shared" si="1"/>
        <v>48.75</v>
      </c>
      <c r="G33" s="158">
        <f t="shared" si="2"/>
        <v>1511.9900619097757</v>
      </c>
      <c r="H33" s="156">
        <f t="shared" si="3"/>
        <v>9232.1535803253009</v>
      </c>
      <c r="I33" s="431">
        <f t="shared" si="12"/>
        <v>1284.3474624165262</v>
      </c>
      <c r="J33" s="433">
        <f t="shared" si="4"/>
        <v>930.93066326128758</v>
      </c>
      <c r="K33" s="156">
        <f t="shared" si="13"/>
        <v>961.66864743653821</v>
      </c>
      <c r="L33" s="157">
        <f t="shared" si="5"/>
        <v>48.983567345908632</v>
      </c>
      <c r="M33" s="158">
        <f t="shared" si="14"/>
        <v>961.66864743653821</v>
      </c>
      <c r="N33" s="437">
        <f>RESUM!H32</f>
        <v>303.1701328119147</v>
      </c>
      <c r="O33" s="538">
        <f>'driving mode parameters'!H18</f>
        <v>0.95604991777154913</v>
      </c>
      <c r="P33" s="538">
        <f>'driving mode parameters'!H17</f>
        <v>0.84717507549274329</v>
      </c>
      <c r="Q33" s="539">
        <f>RESUM!H16</f>
        <v>39</v>
      </c>
      <c r="R33" s="540">
        <f>RESUM!H12</f>
        <v>767.91</v>
      </c>
      <c r="S33" s="539">
        <f t="shared" si="15"/>
        <v>12.090000000000032</v>
      </c>
      <c r="T33" s="528"/>
      <c r="U33" s="540">
        <f t="shared" si="6"/>
        <v>9232.1535803253009</v>
      </c>
      <c r="V33" s="540">
        <f t="shared" si="7"/>
        <v>1284.3474624165262</v>
      </c>
      <c r="W33" s="540">
        <f t="shared" si="16"/>
        <v>1879.6593333362453</v>
      </c>
      <c r="X33" s="540">
        <f t="shared" ref="X33:X40" si="20">X32</f>
        <v>13722.252236636758</v>
      </c>
      <c r="Y33" s="540">
        <f t="shared" ref="Y33:Y40" si="21">Y$32*F33/F$32*(B$32/B33)^0.5</f>
        <v>797.50420247168086</v>
      </c>
      <c r="Z33" s="540">
        <f t="shared" si="9"/>
        <v>1146.006276807404</v>
      </c>
      <c r="AA33" s="540">
        <f t="shared" si="17"/>
        <v>960.25514671543453</v>
      </c>
      <c r="AB33" s="540">
        <f t="shared" si="10"/>
        <v>961.66864743653821</v>
      </c>
      <c r="AC33" s="541">
        <f t="shared" si="18"/>
        <v>1511.9900619097757</v>
      </c>
      <c r="AD33" s="528">
        <f t="shared" si="19"/>
        <v>0.877</v>
      </c>
      <c r="AE33" s="528"/>
      <c r="AF33" s="528"/>
      <c r="AG33" s="102"/>
      <c r="AH33" s="102"/>
      <c r="AI33" s="102"/>
      <c r="AJ33" s="102"/>
      <c r="AK33" s="161"/>
      <c r="AL33" s="161"/>
      <c r="AM33" s="161"/>
      <c r="AN33" s="162"/>
      <c r="AO33" s="161"/>
      <c r="AP33" s="102"/>
      <c r="AQ33" s="102"/>
      <c r="AR33" s="102"/>
      <c r="AS33" s="102"/>
      <c r="AT33" s="102"/>
      <c r="AU33" s="102"/>
      <c r="AV33" s="102"/>
      <c r="AW33" s="102"/>
      <c r="AX33" s="102"/>
      <c r="AY33" s="102"/>
      <c r="AZ33" s="102"/>
      <c r="BA33" s="101"/>
      <c r="BB33" s="101"/>
      <c r="BC33" s="101"/>
      <c r="BD33" s="101"/>
    </row>
    <row r="34" spans="1:200" s="102" customFormat="1" ht="18" customHeight="1">
      <c r="A34" s="569" t="str">
        <f>RESUM!I9</f>
        <v>D62</v>
      </c>
      <c r="B34" s="155">
        <f>RESUM!I11</f>
        <v>5900</v>
      </c>
      <c r="C34" s="431">
        <f>RESUM!I15</f>
        <v>960.36102722584099</v>
      </c>
      <c r="D34" s="433">
        <f>E34*$B34*PI()/30000</f>
        <v>672.56304613503539</v>
      </c>
      <c r="E34" s="156">
        <f t="shared" si="11"/>
        <v>1088.56</v>
      </c>
      <c r="F34" s="157">
        <f t="shared" si="1"/>
        <v>55</v>
      </c>
      <c r="G34" s="158">
        <f>IF(AC34&lt;$L$13,AC34,$L$13)</f>
        <v>1899.091844066766</v>
      </c>
      <c r="H34" s="156">
        <f t="shared" si="3"/>
        <v>8777.4861842101946</v>
      </c>
      <c r="I34" s="431">
        <f t="shared" si="12"/>
        <v>1377.672786300393</v>
      </c>
      <c r="J34" s="433">
        <f t="shared" si="4"/>
        <v>1000.5784483831519</v>
      </c>
      <c r="K34" s="156">
        <f t="shared" si="13"/>
        <v>1088.56</v>
      </c>
      <c r="L34" s="157">
        <f t="shared" si="5"/>
        <v>55.278969847011574</v>
      </c>
      <c r="M34" s="158">
        <f t="shared" si="14"/>
        <v>1207.3467256782519</v>
      </c>
      <c r="N34" s="437">
        <f>RESUM!I32</f>
        <v>343.683599423874</v>
      </c>
      <c r="O34" s="538">
        <f>'driving mode parameters'!I18</f>
        <v>0.95914171851523145</v>
      </c>
      <c r="P34" s="538">
        <f>'driving mode parameters'!I17</f>
        <v>0.84311159278672121</v>
      </c>
      <c r="Q34" s="539">
        <f>RESUM!I16</f>
        <v>44</v>
      </c>
      <c r="R34" s="540">
        <f>RESUM!I12</f>
        <v>868.56</v>
      </c>
      <c r="S34" s="539">
        <f t="shared" si="15"/>
        <v>11.440000000000055</v>
      </c>
      <c r="T34" s="528"/>
      <c r="U34" s="540">
        <f t="shared" si="6"/>
        <v>8777.4861842101946</v>
      </c>
      <c r="V34" s="540">
        <f t="shared" si="7"/>
        <v>1377.672786300393</v>
      </c>
      <c r="W34" s="540">
        <f t="shared" si="16"/>
        <v>2113.8114317602185</v>
      </c>
      <c r="X34" s="540">
        <f t="shared" si="20"/>
        <v>13722.252236636758</v>
      </c>
      <c r="Y34" s="540">
        <f t="shared" si="21"/>
        <v>922.33967111471316</v>
      </c>
      <c r="Z34" s="540">
        <f t="shared" si="9"/>
        <v>1325.3937084845295</v>
      </c>
      <c r="AA34" s="540">
        <f t="shared" si="17"/>
        <v>1207.3467256782519</v>
      </c>
      <c r="AB34" s="540">
        <f>AC34*(B34*E34/AC34/H34)^(1/(1+AD34))</f>
        <v>1142.5321513079623</v>
      </c>
      <c r="AC34" s="541">
        <f t="shared" si="18"/>
        <v>1899.091844066766</v>
      </c>
      <c r="AD34" s="528">
        <f t="shared" si="19"/>
        <v>0.877</v>
      </c>
      <c r="AE34" s="528"/>
      <c r="AF34" s="528"/>
      <c r="AK34" s="161"/>
      <c r="AL34" s="161"/>
      <c r="AM34" s="161"/>
      <c r="AN34" s="162"/>
      <c r="AO34" s="161"/>
      <c r="BA34" s="101"/>
      <c r="BB34" s="101"/>
      <c r="BC34" s="101"/>
      <c r="BD34" s="101"/>
    </row>
    <row r="35" spans="1:200" s="102" customFormat="1" ht="18" customHeight="1">
      <c r="A35" s="569" t="str">
        <f>RESUM!J9</f>
        <v>E62</v>
      </c>
      <c r="B35" s="155">
        <f>RESUM!J11</f>
        <v>5600</v>
      </c>
      <c r="C35" s="431">
        <f>RESUM!J15</f>
        <v>1055.7431057766598</v>
      </c>
      <c r="D35" s="433">
        <f>E35*$B35*PI()/30000</f>
        <v>741.2389317489409</v>
      </c>
      <c r="E35" s="156">
        <f t="shared" si="11"/>
        <v>1263.9839999999999</v>
      </c>
      <c r="F35" s="157">
        <f t="shared" si="1"/>
        <v>63.75</v>
      </c>
      <c r="G35" s="158">
        <f t="shared" ref="G35:G40" si="22">IF(AC35&lt;$L$13,AC35,$L$13)</f>
        <v>2465.3550021218302</v>
      </c>
      <c r="H35" s="156">
        <f t="shared" si="3"/>
        <v>8328.3221744649873</v>
      </c>
      <c r="I35" s="431">
        <f t="shared" si="12"/>
        <v>1511.9707274539808</v>
      </c>
      <c r="J35" s="433">
        <f t="shared" si="4"/>
        <v>1102.3708271181151</v>
      </c>
      <c r="K35" s="156">
        <f t="shared" si="13"/>
        <v>1263.9839999999999</v>
      </c>
      <c r="L35" s="157">
        <f t="shared" si="5"/>
        <v>64.018349973874166</v>
      </c>
      <c r="M35" s="158">
        <f t="shared" si="14"/>
        <v>1567.9600978862991</v>
      </c>
      <c r="N35" s="437">
        <f>RESUM!J32</f>
        <v>384.51693197301643</v>
      </c>
      <c r="O35" s="538">
        <f>'driving mode parameters'!J18</f>
        <v>0.96162302646533337</v>
      </c>
      <c r="P35" s="538">
        <f>'driving mode parameters'!J17</f>
        <v>0.8430716423673883</v>
      </c>
      <c r="Q35" s="539">
        <f>RESUM!J16</f>
        <v>51</v>
      </c>
      <c r="R35" s="540">
        <f>RESUM!J12</f>
        <v>1008.9839999999999</v>
      </c>
      <c r="S35" s="539">
        <f t="shared" si="15"/>
        <v>11.016000000000076</v>
      </c>
      <c r="T35" s="528"/>
      <c r="U35" s="540">
        <f t="shared" si="6"/>
        <v>8328.3221744649873</v>
      </c>
      <c r="V35" s="540">
        <f t="shared" si="7"/>
        <v>1511.9707274539808</v>
      </c>
      <c r="W35" s="540">
        <f t="shared" si="16"/>
        <v>2439.7985257519622</v>
      </c>
      <c r="X35" s="540">
        <f t="shared" si="20"/>
        <v>13722.252236636758</v>
      </c>
      <c r="Y35" s="540">
        <f t="shared" si="21"/>
        <v>1097.3379035418261</v>
      </c>
      <c r="Z35" s="540">
        <f t="shared" si="9"/>
        <v>1576.864574932777</v>
      </c>
      <c r="AA35" s="540">
        <f t="shared" si="17"/>
        <v>1567.9600978862991</v>
      </c>
      <c r="AB35" s="540">
        <f>AC35*(B35*E35/AC35/H35)^(1/(1+AD35))</f>
        <v>1397.8858151961435</v>
      </c>
      <c r="AC35" s="541">
        <f t="shared" si="18"/>
        <v>2465.3550021218302</v>
      </c>
      <c r="AD35" s="528">
        <f t="shared" si="19"/>
        <v>0.877</v>
      </c>
      <c r="AE35" s="528"/>
      <c r="AF35" s="528"/>
      <c r="AK35" s="161"/>
      <c r="AL35" s="161"/>
      <c r="AM35" s="161"/>
      <c r="AN35" s="162"/>
      <c r="AO35" s="161"/>
    </row>
    <row r="36" spans="1:200" s="102" customFormat="1" ht="18" customHeight="1">
      <c r="A36" s="569" t="str">
        <f>RESUM!K9</f>
        <v>F62</v>
      </c>
      <c r="B36" s="155">
        <f>RESUM!K11</f>
        <v>5200</v>
      </c>
      <c r="C36" s="431">
        <f>RESUM!K15</f>
        <v>1158.8952418262465</v>
      </c>
      <c r="D36" s="433">
        <f>E36*$B36*PI()/30000</f>
        <v>811.25975412179935</v>
      </c>
      <c r="E36" s="156">
        <f t="shared" si="11"/>
        <v>1489.8</v>
      </c>
      <c r="F36" s="157">
        <f t="shared" si="1"/>
        <v>75</v>
      </c>
      <c r="G36" s="158">
        <f t="shared" si="22"/>
        <v>3409.4359344512714</v>
      </c>
      <c r="H36" s="156">
        <f t="shared" si="3"/>
        <v>7725.1598255862891</v>
      </c>
      <c r="I36" s="431">
        <f t="shared" si="12"/>
        <v>1651.1695410099444</v>
      </c>
      <c r="J36" s="433">
        <f t="shared" si="4"/>
        <v>1205.2137039724491</v>
      </c>
      <c r="K36" s="156">
        <f t="shared" si="13"/>
        <v>1489.8</v>
      </c>
      <c r="L36" s="157">
        <f t="shared" si="5"/>
        <v>75.247659905970963</v>
      </c>
      <c r="M36" s="158">
        <f t="shared" si="14"/>
        <v>2171.0443901365188</v>
      </c>
      <c r="N36" s="437">
        <f>RESUM!K32</f>
        <v>443.82808629612254</v>
      </c>
      <c r="O36" s="538">
        <f>'driving mode parameters'!K18</f>
        <v>0.96338512963023193</v>
      </c>
      <c r="P36" s="538">
        <f>'driving mode parameters'!K17</f>
        <v>0.83904486076738571</v>
      </c>
      <c r="Q36" s="539">
        <f>RESUM!K16</f>
        <v>60</v>
      </c>
      <c r="R36" s="540">
        <f>RESUM!K12</f>
        <v>1189.8</v>
      </c>
      <c r="S36" s="539">
        <f t="shared" si="15"/>
        <v>10.200000000000045</v>
      </c>
      <c r="T36" s="528"/>
      <c r="U36" s="540">
        <f t="shared" si="6"/>
        <v>7725.1598255862891</v>
      </c>
      <c r="V36" s="540">
        <f t="shared" si="7"/>
        <v>1651.1695410099444</v>
      </c>
      <c r="W36" s="540">
        <f t="shared" si="16"/>
        <v>2859.6922543070182</v>
      </c>
      <c r="X36" s="540">
        <f t="shared" si="20"/>
        <v>13722.252236636758</v>
      </c>
      <c r="Y36" s="540">
        <f t="shared" si="21"/>
        <v>1339.7192465945711</v>
      </c>
      <c r="Z36" s="540">
        <f t="shared" si="9"/>
        <v>1925.1643577534428</v>
      </c>
      <c r="AA36" s="540">
        <f t="shared" si="17"/>
        <v>2171.0443901365188</v>
      </c>
      <c r="AB36" s="540">
        <f>AC36*(B36*E36/AC36/H36)^(1/(1+AD36))</f>
        <v>1776.3965302827351</v>
      </c>
      <c r="AC36" s="541">
        <f t="shared" si="18"/>
        <v>3409.4359344512714</v>
      </c>
      <c r="AD36" s="528">
        <f t="shared" si="19"/>
        <v>0.877</v>
      </c>
      <c r="AE36" s="528"/>
      <c r="AF36" s="528"/>
      <c r="AK36" s="161"/>
      <c r="AL36" s="161"/>
      <c r="AM36" s="161"/>
      <c r="AN36" s="162"/>
      <c r="AO36" s="161"/>
    </row>
    <row r="37" spans="1:200" s="102" customFormat="1" ht="18" customHeight="1">
      <c r="A37" s="487">
        <f>RESUM!L9</f>
        <v>0</v>
      </c>
      <c r="B37" s="480">
        <f>RESUM!L11</f>
        <v>0</v>
      </c>
      <c r="C37" s="481">
        <f>RESUM!L15</f>
        <v>0</v>
      </c>
      <c r="D37" s="482">
        <f>E37*$B37*PI()/30000</f>
        <v>0</v>
      </c>
      <c r="E37" s="483">
        <f t="shared" si="11"/>
        <v>0</v>
      </c>
      <c r="F37" s="484">
        <f t="shared" si="1"/>
        <v>0</v>
      </c>
      <c r="G37" s="485" t="e">
        <f t="shared" si="22"/>
        <v>#DIV/0!</v>
      </c>
      <c r="H37" s="483" t="e">
        <f t="shared" si="3"/>
        <v>#DIV/0!</v>
      </c>
      <c r="I37" s="481" t="e">
        <f t="shared" si="12"/>
        <v>#DIV/0!</v>
      </c>
      <c r="J37" s="482" t="e">
        <f t="shared" si="4"/>
        <v>#DIV/0!</v>
      </c>
      <c r="K37" s="483" t="e">
        <f>IF(E37&lt;M37,E37,M37)</f>
        <v>#DIV/0!</v>
      </c>
      <c r="L37" s="484" t="e">
        <f t="shared" si="5"/>
        <v>#DIV/0!</v>
      </c>
      <c r="M37" s="485" t="e">
        <f t="shared" si="14"/>
        <v>#DIV/0!</v>
      </c>
      <c r="N37" s="486">
        <f>RESUM!L32</f>
        <v>0</v>
      </c>
      <c r="O37" s="538" t="e">
        <f>'driving mode parameters'!L18</f>
        <v>#DIV/0!</v>
      </c>
      <c r="P37" s="538" t="e">
        <f>'driving mode parameters'!L17</f>
        <v>#DIV/0!</v>
      </c>
      <c r="Q37" s="539">
        <f>RESUM!L16</f>
        <v>0</v>
      </c>
      <c r="R37" s="540">
        <f>RESUM!L12</f>
        <v>0</v>
      </c>
      <c r="S37" s="539">
        <f t="shared" si="15"/>
        <v>0</v>
      </c>
      <c r="T37" s="528"/>
      <c r="U37" s="540" t="e">
        <f t="shared" si="6"/>
        <v>#DIV/0!</v>
      </c>
      <c r="V37" s="540">
        <f t="shared" si="7"/>
        <v>0</v>
      </c>
      <c r="W37" s="540" t="e">
        <f t="shared" si="16"/>
        <v>#DIV/0!</v>
      </c>
      <c r="X37" s="540">
        <f t="shared" si="20"/>
        <v>13722.252236636758</v>
      </c>
      <c r="Y37" s="540" t="e">
        <f t="shared" si="21"/>
        <v>#DIV/0!</v>
      </c>
      <c r="Z37" s="540" t="e">
        <f t="shared" si="9"/>
        <v>#DIV/0!</v>
      </c>
      <c r="AA37" s="540" t="e">
        <f t="shared" si="17"/>
        <v>#DIV/0!</v>
      </c>
      <c r="AB37" s="540" t="e">
        <f>AC37*(B37*E37/AC37/H37)^(1/(1+AD37))</f>
        <v>#DIV/0!</v>
      </c>
      <c r="AC37" s="541" t="e">
        <f t="shared" si="18"/>
        <v>#DIV/0!</v>
      </c>
      <c r="AD37" s="528">
        <f t="shared" si="19"/>
        <v>0.877</v>
      </c>
      <c r="AE37" s="528"/>
      <c r="AF37" s="528"/>
      <c r="AK37" s="161"/>
      <c r="AL37" s="161"/>
      <c r="AM37" s="161"/>
      <c r="AN37" s="162"/>
      <c r="AO37" s="161"/>
    </row>
    <row r="38" spans="1:200" s="102" customFormat="1" ht="18" customHeight="1">
      <c r="A38" s="487">
        <f>RESUM!M9</f>
        <v>0</v>
      </c>
      <c r="B38" s="480">
        <f>RESUM!M11</f>
        <v>0</v>
      </c>
      <c r="C38" s="481">
        <f>RESUM!M15</f>
        <v>0</v>
      </c>
      <c r="D38" s="482">
        <f>E38*$B38*PI()/30000</f>
        <v>0</v>
      </c>
      <c r="E38" s="483">
        <f t="shared" si="11"/>
        <v>0</v>
      </c>
      <c r="F38" s="484">
        <f t="shared" si="1"/>
        <v>0</v>
      </c>
      <c r="G38" s="485" t="e">
        <f t="shared" si="22"/>
        <v>#DIV/0!</v>
      </c>
      <c r="H38" s="483" t="e">
        <f t="shared" si="3"/>
        <v>#DIV/0!</v>
      </c>
      <c r="I38" s="481" t="e">
        <f t="shared" si="12"/>
        <v>#DIV/0!</v>
      </c>
      <c r="J38" s="482" t="e">
        <f t="shared" si="4"/>
        <v>#DIV/0!</v>
      </c>
      <c r="K38" s="483" t="e">
        <f>IF(E38&lt;M38,E38,M38)</f>
        <v>#DIV/0!</v>
      </c>
      <c r="L38" s="484" t="e">
        <f t="shared" si="5"/>
        <v>#DIV/0!</v>
      </c>
      <c r="M38" s="485" t="e">
        <f t="shared" si="14"/>
        <v>#DIV/0!</v>
      </c>
      <c r="N38" s="486">
        <f>RESUM!M32</f>
        <v>0</v>
      </c>
      <c r="O38" s="538" t="e">
        <f>'driving mode parameters'!M18</f>
        <v>#DIV/0!</v>
      </c>
      <c r="P38" s="538" t="e">
        <f>'driving mode parameters'!M17</f>
        <v>#DIV/0!</v>
      </c>
      <c r="Q38" s="539">
        <f>RESUM!M16</f>
        <v>0</v>
      </c>
      <c r="R38" s="540">
        <f>RESUM!M12</f>
        <v>0</v>
      </c>
      <c r="S38" s="539">
        <f t="shared" si="15"/>
        <v>0</v>
      </c>
      <c r="T38" s="528"/>
      <c r="U38" s="540" t="e">
        <f t="shared" si="6"/>
        <v>#DIV/0!</v>
      </c>
      <c r="V38" s="540">
        <f t="shared" si="7"/>
        <v>0</v>
      </c>
      <c r="W38" s="540" t="e">
        <f t="shared" si="16"/>
        <v>#DIV/0!</v>
      </c>
      <c r="X38" s="540">
        <f t="shared" si="20"/>
        <v>13722.252236636758</v>
      </c>
      <c r="Y38" s="540" t="e">
        <f t="shared" si="21"/>
        <v>#DIV/0!</v>
      </c>
      <c r="Z38" s="540" t="e">
        <f t="shared" si="9"/>
        <v>#DIV/0!</v>
      </c>
      <c r="AA38" s="540" t="e">
        <f t="shared" si="17"/>
        <v>#DIV/0!</v>
      </c>
      <c r="AB38" s="540" t="e">
        <f>AC38*(B38*E38/AC38/H38)^(1/(1+AD38))</f>
        <v>#DIV/0!</v>
      </c>
      <c r="AC38" s="541" t="e">
        <f t="shared" si="18"/>
        <v>#DIV/0!</v>
      </c>
      <c r="AD38" s="528">
        <f t="shared" si="19"/>
        <v>0.877</v>
      </c>
      <c r="AE38" s="528"/>
      <c r="AF38" s="528"/>
      <c r="AK38" s="161"/>
      <c r="AL38" s="161"/>
      <c r="AM38" s="161"/>
      <c r="AN38" s="162"/>
      <c r="AO38" s="161"/>
    </row>
    <row r="39" spans="1:200" s="102" customFormat="1" ht="18" customHeight="1">
      <c r="A39" s="487">
        <f>RESUM!N9</f>
        <v>0</v>
      </c>
      <c r="B39" s="480">
        <f>RESUM!N11</f>
        <v>0</v>
      </c>
      <c r="C39" s="481">
        <f>RESUM!N15</f>
        <v>0</v>
      </c>
      <c r="D39" s="482">
        <f t="shared" ref="D39:D40" si="23">E39*$B39*PI()/30000</f>
        <v>0</v>
      </c>
      <c r="E39" s="483">
        <f t="shared" si="11"/>
        <v>0</v>
      </c>
      <c r="F39" s="484">
        <f t="shared" si="1"/>
        <v>0</v>
      </c>
      <c r="G39" s="485" t="e">
        <f t="shared" si="22"/>
        <v>#DIV/0!</v>
      </c>
      <c r="H39" s="483" t="e">
        <f t="shared" si="3"/>
        <v>#DIV/0!</v>
      </c>
      <c r="I39" s="481" t="e">
        <f t="shared" si="12"/>
        <v>#DIV/0!</v>
      </c>
      <c r="J39" s="482" t="e">
        <f t="shared" si="4"/>
        <v>#DIV/0!</v>
      </c>
      <c r="K39" s="483" t="e">
        <f t="shared" ref="K39:K40" si="24">IF(E39&lt;M39,E39,M39)</f>
        <v>#DIV/0!</v>
      </c>
      <c r="L39" s="484" t="e">
        <f t="shared" si="5"/>
        <v>#DIV/0!</v>
      </c>
      <c r="M39" s="485" t="e">
        <f t="shared" si="14"/>
        <v>#DIV/0!</v>
      </c>
      <c r="N39" s="486">
        <f>RESUM!N32</f>
        <v>0</v>
      </c>
      <c r="O39" s="538" t="e">
        <f>'driving mode parameters'!N18</f>
        <v>#DIV/0!</v>
      </c>
      <c r="P39" s="538" t="e">
        <f>'driving mode parameters'!N17</f>
        <v>#DIV/0!</v>
      </c>
      <c r="Q39" s="539">
        <f>RESUM!N16</f>
        <v>0</v>
      </c>
      <c r="R39" s="540">
        <f>RESUM!N12</f>
        <v>0</v>
      </c>
      <c r="S39" s="539">
        <f t="shared" si="15"/>
        <v>0</v>
      </c>
      <c r="T39" s="528"/>
      <c r="U39" s="540" t="e">
        <f t="shared" si="6"/>
        <v>#DIV/0!</v>
      </c>
      <c r="V39" s="540">
        <f t="shared" si="7"/>
        <v>0</v>
      </c>
      <c r="W39" s="540" t="e">
        <f t="shared" si="16"/>
        <v>#DIV/0!</v>
      </c>
      <c r="X39" s="540">
        <f t="shared" si="20"/>
        <v>13722.252236636758</v>
      </c>
      <c r="Y39" s="540" t="e">
        <f t="shared" si="21"/>
        <v>#DIV/0!</v>
      </c>
      <c r="Z39" s="540" t="e">
        <f t="shared" si="9"/>
        <v>#DIV/0!</v>
      </c>
      <c r="AA39" s="540" t="e">
        <f t="shared" si="17"/>
        <v>#DIV/0!</v>
      </c>
      <c r="AB39" s="540" t="e">
        <f t="shared" ref="AB39:AB40" si="25">AC39*(B39*E39/AC39/H39)^(1/(1+AD39))</f>
        <v>#DIV/0!</v>
      </c>
      <c r="AC39" s="541" t="e">
        <f t="shared" si="18"/>
        <v>#DIV/0!</v>
      </c>
      <c r="AD39" s="528">
        <f t="shared" si="19"/>
        <v>0.877</v>
      </c>
      <c r="AE39" s="528"/>
      <c r="AF39" s="528"/>
      <c r="AK39" s="161"/>
      <c r="AL39" s="161"/>
      <c r="AM39" s="161"/>
      <c r="AN39" s="162"/>
      <c r="AO39" s="161"/>
    </row>
    <row r="40" spans="1:200" s="452" customFormat="1" ht="18" customHeight="1" thickBot="1">
      <c r="A40" s="488">
        <f>RESUM!O9</f>
        <v>0</v>
      </c>
      <c r="B40" s="489">
        <f>RESUM!O11</f>
        <v>0</v>
      </c>
      <c r="C40" s="490">
        <f>RESUM!O15</f>
        <v>0</v>
      </c>
      <c r="D40" s="491">
        <f t="shared" si="23"/>
        <v>0</v>
      </c>
      <c r="E40" s="492">
        <f t="shared" si="11"/>
        <v>0</v>
      </c>
      <c r="F40" s="493">
        <f t="shared" si="1"/>
        <v>0</v>
      </c>
      <c r="G40" s="494" t="e">
        <f t="shared" si="22"/>
        <v>#DIV/0!</v>
      </c>
      <c r="H40" s="492" t="e">
        <f t="shared" si="3"/>
        <v>#DIV/0!</v>
      </c>
      <c r="I40" s="490" t="e">
        <f t="shared" si="12"/>
        <v>#DIV/0!</v>
      </c>
      <c r="J40" s="491" t="e">
        <f t="shared" si="4"/>
        <v>#DIV/0!</v>
      </c>
      <c r="K40" s="492" t="e">
        <f t="shared" si="24"/>
        <v>#DIV/0!</v>
      </c>
      <c r="L40" s="493" t="e">
        <f t="shared" si="5"/>
        <v>#DIV/0!</v>
      </c>
      <c r="M40" s="494" t="e">
        <f t="shared" si="14"/>
        <v>#DIV/0!</v>
      </c>
      <c r="N40" s="495">
        <f>RESUM!O32</f>
        <v>0</v>
      </c>
      <c r="O40" s="538" t="e">
        <f>'driving mode parameters'!O18</f>
        <v>#DIV/0!</v>
      </c>
      <c r="P40" s="538" t="e">
        <f>'driving mode parameters'!O17</f>
        <v>#DIV/0!</v>
      </c>
      <c r="Q40" s="539">
        <f>RESUM!O16</f>
        <v>0</v>
      </c>
      <c r="R40" s="540">
        <f>RESUM!O12</f>
        <v>0</v>
      </c>
      <c r="S40" s="539">
        <f t="shared" si="15"/>
        <v>0</v>
      </c>
      <c r="T40" s="528"/>
      <c r="U40" s="540" t="e">
        <f t="shared" si="6"/>
        <v>#DIV/0!</v>
      </c>
      <c r="V40" s="540">
        <f t="shared" si="7"/>
        <v>0</v>
      </c>
      <c r="W40" s="540" t="e">
        <f t="shared" si="16"/>
        <v>#DIV/0!</v>
      </c>
      <c r="X40" s="540">
        <f t="shared" si="20"/>
        <v>13722.252236636758</v>
      </c>
      <c r="Y40" s="540" t="e">
        <f t="shared" si="21"/>
        <v>#DIV/0!</v>
      </c>
      <c r="Z40" s="540" t="e">
        <f t="shared" si="9"/>
        <v>#DIV/0!</v>
      </c>
      <c r="AA40" s="540" t="e">
        <f t="shared" si="17"/>
        <v>#DIV/0!</v>
      </c>
      <c r="AB40" s="540" t="e">
        <f t="shared" si="25"/>
        <v>#DIV/0!</v>
      </c>
      <c r="AC40" s="541" t="e">
        <f t="shared" si="18"/>
        <v>#DIV/0!</v>
      </c>
      <c r="AD40" s="528">
        <f t="shared" si="19"/>
        <v>0.877</v>
      </c>
      <c r="AE40" s="528"/>
      <c r="AF40" s="528"/>
      <c r="AG40" s="102"/>
      <c r="AH40" s="102"/>
      <c r="AI40" s="102"/>
      <c r="AJ40" s="102"/>
      <c r="AK40" s="161"/>
      <c r="AL40" s="161"/>
      <c r="AM40" s="161"/>
      <c r="AN40" s="162"/>
      <c r="AO40" s="161"/>
      <c r="AP40" s="102"/>
      <c r="AQ40" s="102"/>
      <c r="AR40" s="102"/>
      <c r="AS40" s="102"/>
      <c r="AT40" s="102"/>
      <c r="AU40" s="102"/>
      <c r="AV40" s="102"/>
      <c r="AW40" s="102"/>
      <c r="AX40" s="102"/>
      <c r="AY40" s="102"/>
      <c r="AZ40" s="102"/>
      <c r="BA40" s="102"/>
      <c r="BB40" s="102"/>
      <c r="BC40" s="102"/>
      <c r="BD40" s="102"/>
      <c r="BE40" s="102"/>
      <c r="BF40" s="102"/>
      <c r="BG40" s="102"/>
      <c r="BH40" s="102"/>
      <c r="BI40" s="102"/>
      <c r="BJ40" s="102"/>
      <c r="BK40" s="102"/>
      <c r="BL40" s="102"/>
      <c r="BM40" s="102"/>
      <c r="BN40" s="102"/>
      <c r="BO40" s="102"/>
      <c r="BP40" s="102"/>
      <c r="BQ40" s="102"/>
      <c r="BR40" s="102"/>
      <c r="BS40" s="102"/>
      <c r="BT40" s="102"/>
      <c r="BU40" s="102"/>
      <c r="BV40" s="102"/>
      <c r="BW40" s="102"/>
      <c r="BX40" s="102"/>
      <c r="BY40" s="102"/>
      <c r="BZ40" s="102"/>
      <c r="CA40" s="102"/>
      <c r="CB40" s="102"/>
      <c r="CC40" s="102"/>
      <c r="CD40" s="102"/>
      <c r="CE40" s="102"/>
      <c r="CF40" s="102"/>
      <c r="CG40" s="102"/>
      <c r="CH40" s="102"/>
      <c r="CI40" s="102"/>
      <c r="CJ40" s="102"/>
      <c r="CK40" s="102"/>
      <c r="CL40" s="102"/>
      <c r="CM40" s="102"/>
      <c r="CN40" s="102"/>
      <c r="CO40" s="102"/>
      <c r="CP40" s="102"/>
      <c r="CQ40" s="102"/>
      <c r="CR40" s="102"/>
      <c r="CS40" s="102"/>
      <c r="CT40" s="102"/>
      <c r="CU40" s="102"/>
      <c r="CV40" s="102"/>
      <c r="CW40" s="102"/>
      <c r="CX40" s="102"/>
      <c r="CY40" s="102"/>
      <c r="CZ40" s="102"/>
      <c r="DA40" s="102"/>
      <c r="DB40" s="102"/>
      <c r="DC40" s="102"/>
      <c r="DD40" s="102"/>
      <c r="DE40" s="102"/>
      <c r="DF40" s="102"/>
      <c r="DG40" s="102"/>
      <c r="DH40" s="102"/>
      <c r="DI40" s="102"/>
      <c r="DJ40" s="102"/>
      <c r="DK40" s="102"/>
      <c r="DL40" s="102"/>
      <c r="DM40" s="102"/>
      <c r="DN40" s="102"/>
      <c r="DO40" s="102"/>
      <c r="DP40" s="102"/>
      <c r="DQ40" s="102"/>
      <c r="DR40" s="102"/>
      <c r="DS40" s="102"/>
      <c r="DT40" s="102"/>
      <c r="DU40" s="102"/>
      <c r="DV40" s="102"/>
      <c r="DW40" s="102"/>
      <c r="DX40" s="102"/>
      <c r="DY40" s="102"/>
      <c r="DZ40" s="102"/>
      <c r="EA40" s="102"/>
      <c r="EB40" s="102"/>
      <c r="EC40" s="102"/>
      <c r="ED40" s="102"/>
      <c r="EE40" s="102"/>
      <c r="EF40" s="102"/>
      <c r="EG40" s="102"/>
      <c r="EH40" s="102"/>
      <c r="EI40" s="102"/>
      <c r="EJ40" s="102"/>
      <c r="EK40" s="102"/>
      <c r="EL40" s="102"/>
      <c r="EM40" s="102"/>
      <c r="EN40" s="102"/>
      <c r="EO40" s="102"/>
      <c r="EP40" s="102"/>
      <c r="EQ40" s="102"/>
      <c r="ER40" s="102"/>
      <c r="ES40" s="102"/>
      <c r="ET40" s="102"/>
      <c r="EU40" s="102"/>
      <c r="EV40" s="102"/>
      <c r="EW40" s="102"/>
      <c r="EX40" s="102"/>
      <c r="EY40" s="102"/>
      <c r="EZ40" s="102"/>
      <c r="FA40" s="102"/>
      <c r="FB40" s="102"/>
      <c r="FC40" s="102"/>
      <c r="FD40" s="102"/>
      <c r="FE40" s="102"/>
      <c r="FF40" s="102"/>
      <c r="FG40" s="102"/>
      <c r="FH40" s="102"/>
      <c r="FI40" s="102"/>
      <c r="FJ40" s="102"/>
      <c r="FK40" s="102"/>
      <c r="FL40" s="102"/>
      <c r="FM40" s="102"/>
      <c r="FN40" s="102"/>
      <c r="FO40" s="102"/>
      <c r="FP40" s="102"/>
      <c r="FQ40" s="102"/>
      <c r="FR40" s="102"/>
      <c r="FS40" s="102"/>
      <c r="FT40" s="102"/>
      <c r="FU40" s="102"/>
      <c r="FV40" s="102"/>
      <c r="FW40" s="102"/>
      <c r="FX40" s="102"/>
      <c r="FY40" s="102"/>
      <c r="FZ40" s="102"/>
      <c r="GA40" s="102"/>
      <c r="GB40" s="102"/>
      <c r="GC40" s="102"/>
      <c r="GD40" s="102"/>
      <c r="GE40" s="102"/>
      <c r="GF40" s="102"/>
      <c r="GG40" s="102"/>
      <c r="GH40" s="102"/>
      <c r="GI40" s="102"/>
      <c r="GJ40" s="102"/>
      <c r="GK40" s="102"/>
      <c r="GL40" s="102"/>
      <c r="GM40" s="102"/>
      <c r="GN40" s="102"/>
      <c r="GO40" s="102"/>
      <c r="GP40" s="102"/>
      <c r="GQ40" s="102"/>
      <c r="GR40" s="102"/>
    </row>
    <row r="41" spans="1:200" s="92" customFormat="1" ht="19.5" customHeight="1" thickBot="1">
      <c r="A41" s="449" t="s">
        <v>99</v>
      </c>
      <c r="B41" s="450"/>
      <c r="C41" s="450"/>
      <c r="D41" s="450"/>
      <c r="E41" s="450"/>
      <c r="F41" s="450"/>
      <c r="G41" s="451"/>
      <c r="H41" s="449" t="s">
        <v>100</v>
      </c>
      <c r="I41" s="450"/>
      <c r="J41" s="450"/>
      <c r="K41" s="450"/>
      <c r="L41" s="450"/>
      <c r="M41" s="450"/>
      <c r="N41" s="451"/>
      <c r="O41" s="528"/>
      <c r="P41" s="527"/>
      <c r="Q41" s="527"/>
      <c r="R41" s="527"/>
      <c r="S41" s="528"/>
      <c r="T41" s="528"/>
      <c r="U41" s="528"/>
      <c r="V41" s="528"/>
      <c r="W41" s="528"/>
      <c r="X41" s="528"/>
      <c r="Y41" s="528"/>
      <c r="Z41" s="528"/>
      <c r="AA41" s="528"/>
      <c r="AB41" s="528"/>
      <c r="AC41" s="528"/>
      <c r="AD41" s="528"/>
      <c r="AE41" s="528"/>
      <c r="AF41" s="528"/>
      <c r="AG41" s="102"/>
      <c r="AH41" s="400"/>
      <c r="AI41" s="400"/>
      <c r="AJ41" s="400"/>
      <c r="AK41" s="400"/>
      <c r="AL41" s="400"/>
      <c r="AM41" s="400"/>
      <c r="AN41" s="400"/>
      <c r="AO41" s="400"/>
      <c r="AP41" s="400"/>
      <c r="AQ41" s="400"/>
      <c r="AR41" s="400"/>
      <c r="AS41" s="400"/>
      <c r="AT41" s="400"/>
      <c r="AU41" s="400"/>
      <c r="AV41" s="400"/>
      <c r="AW41" s="400"/>
      <c r="AX41" s="400"/>
      <c r="AY41" s="400"/>
      <c r="AZ41" s="400"/>
      <c r="BA41" s="423"/>
      <c r="BB41" s="423"/>
      <c r="BC41" s="423"/>
      <c r="BD41" s="423"/>
      <c r="BE41" s="164"/>
      <c r="BF41" s="163"/>
      <c r="BG41" s="163"/>
      <c r="BH41" s="163"/>
    </row>
    <row r="42" spans="1:200" ht="15" customHeight="1">
      <c r="C42" s="77"/>
      <c r="E42" s="90"/>
      <c r="F42" s="77"/>
      <c r="G42" s="90"/>
      <c r="I42" s="77"/>
      <c r="J42" s="90"/>
      <c r="K42" s="165"/>
      <c r="L42" s="77"/>
      <c r="M42" s="90"/>
      <c r="O42" s="527"/>
      <c r="P42" s="527"/>
      <c r="Q42" s="527"/>
      <c r="R42" s="527"/>
      <c r="S42" s="527"/>
      <c r="T42" s="527"/>
      <c r="U42" s="527"/>
      <c r="V42" s="527"/>
      <c r="W42" s="527"/>
      <c r="X42" s="527"/>
      <c r="Y42" s="527"/>
      <c r="Z42" s="527"/>
      <c r="AA42" s="527"/>
      <c r="AB42" s="527"/>
      <c r="AC42" s="527"/>
      <c r="AD42" s="527"/>
      <c r="AE42" s="527"/>
      <c r="AF42" s="527"/>
    </row>
    <row r="43" spans="1:200" ht="15" customHeight="1">
      <c r="C43" s="77"/>
      <c r="E43" s="90"/>
      <c r="F43" s="77"/>
      <c r="G43" s="90"/>
      <c r="I43" s="77"/>
      <c r="J43" s="90"/>
      <c r="K43" s="165"/>
      <c r="L43" s="77"/>
      <c r="M43" s="90"/>
    </row>
    <row r="44" spans="1:200" ht="15" customHeight="1">
      <c r="C44" s="77"/>
      <c r="E44" s="90"/>
      <c r="F44" s="77"/>
      <c r="G44" s="90"/>
      <c r="I44" s="77"/>
      <c r="J44" s="90"/>
      <c r="K44" s="165"/>
      <c r="L44" s="77"/>
      <c r="M44" s="90"/>
    </row>
    <row r="45" spans="1:200" ht="15" customHeight="1">
      <c r="C45" s="77"/>
      <c r="E45" s="90"/>
      <c r="F45" s="77"/>
      <c r="G45" s="90"/>
      <c r="I45" s="77"/>
      <c r="J45" s="90"/>
      <c r="K45" s="165"/>
      <c r="L45" s="77"/>
      <c r="M45" s="90"/>
    </row>
    <row r="46" spans="1:200" ht="15" customHeight="1">
      <c r="C46" s="77"/>
      <c r="E46" s="90"/>
      <c r="F46" s="77"/>
      <c r="G46" s="90"/>
      <c r="I46" s="77"/>
      <c r="J46" s="90"/>
      <c r="K46" s="165"/>
      <c r="L46" s="77"/>
      <c r="M46" s="90"/>
    </row>
    <row r="47" spans="1:200" ht="15" customHeight="1">
      <c r="C47" s="77"/>
      <c r="E47" s="90"/>
      <c r="F47" s="77"/>
      <c r="G47" s="90"/>
      <c r="I47" s="77"/>
      <c r="J47" s="90"/>
      <c r="K47" s="165"/>
      <c r="L47" s="77"/>
      <c r="M47" s="90"/>
    </row>
    <row r="48" spans="1:200" ht="15" customHeight="1">
      <c r="C48" s="77"/>
      <c r="E48" s="90"/>
      <c r="F48" s="77"/>
      <c r="G48" s="90"/>
      <c r="I48" s="77"/>
      <c r="J48" s="90"/>
      <c r="K48" s="165"/>
      <c r="L48" s="77"/>
      <c r="M48" s="90"/>
    </row>
    <row r="49" spans="3:18" ht="15" customHeight="1">
      <c r="C49" s="77"/>
      <c r="E49" s="90"/>
      <c r="F49" s="77"/>
      <c r="G49" s="90"/>
      <c r="I49" s="77"/>
      <c r="J49" s="90"/>
      <c r="K49" s="165"/>
      <c r="L49" s="77"/>
      <c r="M49" s="90"/>
    </row>
    <row r="50" spans="3:18" ht="15" customHeight="1">
      <c r="C50" s="77"/>
      <c r="E50" s="90"/>
      <c r="F50" s="77"/>
      <c r="G50" s="90"/>
      <c r="I50" s="77"/>
      <c r="J50" s="90"/>
      <c r="K50" s="165"/>
      <c r="L50" s="77"/>
      <c r="M50" s="90"/>
    </row>
    <row r="51" spans="3:18" ht="15" customHeight="1">
      <c r="C51" s="77"/>
      <c r="E51" s="90"/>
      <c r="F51" s="77"/>
      <c r="G51" s="90"/>
      <c r="I51" s="77"/>
      <c r="J51" s="90"/>
      <c r="K51" s="165"/>
      <c r="L51" s="77"/>
      <c r="M51" s="90"/>
      <c r="P51" s="453"/>
      <c r="Q51" s="453"/>
      <c r="R51" s="453"/>
    </row>
    <row r="52" spans="3:18" ht="15" customHeight="1">
      <c r="C52" s="77"/>
      <c r="E52" s="90"/>
      <c r="F52" s="77"/>
      <c r="G52" s="90"/>
      <c r="I52" s="77"/>
      <c r="J52" s="90"/>
      <c r="K52" s="165"/>
      <c r="L52" s="77"/>
      <c r="M52" s="90"/>
    </row>
    <row r="53" spans="3:18" ht="15" customHeight="1">
      <c r="C53" s="77"/>
      <c r="E53" s="90"/>
      <c r="F53" s="77"/>
      <c r="G53" s="90"/>
      <c r="I53" s="77"/>
      <c r="J53" s="90"/>
      <c r="K53" s="165"/>
      <c r="L53" s="77"/>
      <c r="M53" s="90"/>
    </row>
    <row r="54" spans="3:18" ht="15" customHeight="1">
      <c r="C54" s="77"/>
      <c r="E54" s="90"/>
      <c r="F54" s="77"/>
      <c r="G54" s="90"/>
      <c r="I54" s="77"/>
      <c r="J54" s="90"/>
      <c r="K54" s="165"/>
      <c r="L54" s="77"/>
      <c r="M54" s="90"/>
    </row>
    <row r="55" spans="3:18" ht="15" customHeight="1">
      <c r="C55" s="77"/>
      <c r="E55" s="90"/>
      <c r="F55" s="77"/>
      <c r="G55" s="90"/>
      <c r="I55" s="77"/>
      <c r="J55" s="90"/>
      <c r="K55" s="165"/>
      <c r="L55" s="77"/>
      <c r="M55" s="90"/>
    </row>
    <row r="56" spans="3:18" ht="15" customHeight="1">
      <c r="C56" s="77"/>
      <c r="E56" s="90"/>
      <c r="F56" s="77"/>
      <c r="G56" s="90"/>
      <c r="I56" s="77"/>
      <c r="J56" s="90"/>
      <c r="K56" s="165"/>
      <c r="L56" s="77"/>
      <c r="M56" s="90"/>
    </row>
    <row r="57" spans="3:18" ht="15" customHeight="1">
      <c r="C57" s="77"/>
      <c r="E57" s="90"/>
      <c r="F57" s="77"/>
      <c r="G57" s="90"/>
      <c r="I57" s="77"/>
      <c r="J57" s="90"/>
      <c r="K57" s="165"/>
      <c r="L57" s="77"/>
      <c r="M57" s="90"/>
    </row>
    <row r="58" spans="3:18" ht="15" customHeight="1">
      <c r="C58" s="77"/>
      <c r="E58" s="90"/>
      <c r="F58" s="77"/>
      <c r="G58" s="90"/>
      <c r="I58" s="77"/>
      <c r="J58" s="90"/>
      <c r="K58" s="165"/>
      <c r="L58" s="77"/>
      <c r="M58" s="90"/>
    </row>
    <row r="59" spans="3:18" ht="15" customHeight="1">
      <c r="C59" s="77"/>
      <c r="E59" s="90"/>
      <c r="F59" s="77"/>
      <c r="G59" s="90"/>
      <c r="I59" s="77"/>
      <c r="J59" s="90"/>
      <c r="K59" s="165"/>
      <c r="L59" s="77"/>
      <c r="M59" s="90"/>
    </row>
    <row r="60" spans="3:18" ht="15" customHeight="1">
      <c r="C60" s="77"/>
      <c r="E60" s="90"/>
      <c r="F60" s="77"/>
      <c r="G60" s="90"/>
      <c r="I60" s="77"/>
      <c r="J60" s="90"/>
      <c r="K60" s="165"/>
      <c r="L60" s="77"/>
      <c r="M60" s="90"/>
    </row>
    <row r="61" spans="3:18" ht="15" customHeight="1">
      <c r="C61" s="77"/>
      <c r="E61" s="90"/>
      <c r="F61" s="77"/>
      <c r="G61" s="90"/>
      <c r="I61" s="77"/>
      <c r="J61" s="90"/>
      <c r="K61" s="165"/>
      <c r="L61" s="77"/>
      <c r="M61" s="90"/>
    </row>
    <row r="62" spans="3:18" ht="15" customHeight="1">
      <c r="C62" s="77"/>
      <c r="E62" s="90"/>
      <c r="F62" s="77"/>
      <c r="G62" s="90"/>
      <c r="I62" s="77"/>
      <c r="J62" s="90"/>
      <c r="K62" s="165"/>
      <c r="L62" s="77"/>
      <c r="M62" s="90"/>
    </row>
    <row r="63" spans="3:18" ht="15" customHeight="1">
      <c r="C63" s="77"/>
      <c r="E63" s="90"/>
      <c r="F63" s="77"/>
      <c r="G63" s="90"/>
      <c r="I63" s="77"/>
      <c r="J63" s="90"/>
      <c r="K63" s="165"/>
      <c r="L63" s="77"/>
      <c r="M63" s="90"/>
    </row>
    <row r="64" spans="3:18" ht="15" customHeight="1">
      <c r="C64" s="77"/>
      <c r="E64" s="90"/>
      <c r="F64" s="77"/>
      <c r="G64" s="90"/>
      <c r="I64" s="77"/>
      <c r="J64" s="90"/>
      <c r="K64" s="165"/>
      <c r="L64" s="77"/>
      <c r="M64" s="90"/>
    </row>
    <row r="65" spans="1:19" ht="15" customHeight="1">
      <c r="C65" s="77"/>
      <c r="E65" s="90"/>
      <c r="F65" s="77"/>
      <c r="G65" s="90"/>
      <c r="I65" s="77"/>
      <c r="J65" s="90"/>
      <c r="K65" s="165"/>
      <c r="L65" s="77"/>
      <c r="M65" s="90"/>
    </row>
    <row r="66" spans="1:19" ht="15" customHeight="1">
      <c r="C66" s="77"/>
      <c r="E66" s="90"/>
      <c r="F66" s="77"/>
      <c r="G66" s="90"/>
      <c r="I66" s="77"/>
      <c r="J66" s="90"/>
      <c r="K66" s="165"/>
      <c r="L66" s="77"/>
      <c r="M66" s="90"/>
    </row>
    <row r="67" spans="1:19" ht="15" customHeight="1">
      <c r="C67" s="77"/>
      <c r="E67" s="90"/>
      <c r="F67" s="77"/>
      <c r="G67" s="90"/>
      <c r="I67" s="77"/>
      <c r="J67" s="90"/>
      <c r="K67" s="165"/>
      <c r="L67" s="77"/>
      <c r="M67" s="90"/>
    </row>
    <row r="68" spans="1:19" ht="15" customHeight="1">
      <c r="C68" s="77"/>
      <c r="E68" s="90"/>
      <c r="F68" s="77"/>
      <c r="G68" s="90"/>
      <c r="I68" s="77"/>
      <c r="J68" s="90"/>
      <c r="K68" s="165"/>
      <c r="L68" s="77"/>
      <c r="M68" s="90"/>
    </row>
    <row r="69" spans="1:19" ht="15" customHeight="1">
      <c r="C69" s="77"/>
      <c r="E69" s="90"/>
      <c r="F69" s="77"/>
      <c r="G69" s="90"/>
      <c r="I69" s="77"/>
      <c r="J69" s="90"/>
      <c r="K69" s="165"/>
      <c r="L69" s="77"/>
      <c r="M69" s="90"/>
    </row>
    <row r="70" spans="1:19" ht="15" customHeight="1">
      <c r="C70" s="77"/>
      <c r="E70" s="90"/>
      <c r="F70" s="77"/>
      <c r="G70" s="90"/>
      <c r="I70" s="77"/>
      <c r="J70" s="90"/>
      <c r="K70" s="165"/>
      <c r="L70" s="77"/>
      <c r="M70" s="90"/>
    </row>
    <row r="71" spans="1:19" ht="15" customHeight="1" thickBot="1">
      <c r="C71" s="77"/>
      <c r="E71" s="90"/>
      <c r="F71" s="77"/>
      <c r="G71" s="90"/>
      <c r="I71" s="77"/>
      <c r="J71" s="90"/>
      <c r="K71" s="165"/>
      <c r="L71" s="77"/>
      <c r="M71" s="90"/>
    </row>
    <row r="72" spans="1:19" ht="15" customHeight="1">
      <c r="A72" s="166" t="s">
        <v>101</v>
      </c>
      <c r="B72" s="67"/>
      <c r="C72" s="67"/>
      <c r="D72" s="167"/>
      <c r="E72" s="168" t="s">
        <v>102</v>
      </c>
      <c r="F72" s="67"/>
      <c r="G72" s="169"/>
      <c r="H72" s="67"/>
      <c r="I72" s="67"/>
      <c r="J72" s="167"/>
      <c r="K72" s="170" t="s">
        <v>103</v>
      </c>
      <c r="L72" s="67"/>
      <c r="M72" s="169"/>
      <c r="N72" s="68"/>
    </row>
    <row r="73" spans="1:19" ht="15" customHeight="1">
      <c r="A73" s="78"/>
      <c r="C73" s="77"/>
      <c r="D73" s="171"/>
      <c r="E73" s="172"/>
      <c r="F73" s="77"/>
      <c r="G73" s="90"/>
      <c r="I73" s="77"/>
      <c r="J73" s="171"/>
      <c r="K73" s="173"/>
      <c r="L73" s="77"/>
      <c r="M73" s="90"/>
      <c r="N73" s="79"/>
    </row>
    <row r="74" spans="1:19" ht="15" customHeight="1" thickBot="1">
      <c r="A74" s="81"/>
      <c r="B74" s="82"/>
      <c r="C74" s="82"/>
      <c r="D74" s="174">
        <f>M4</f>
        <v>45239</v>
      </c>
      <c r="E74" s="175"/>
      <c r="F74" s="82"/>
      <c r="G74" s="176"/>
      <c r="H74" s="82"/>
      <c r="I74" s="82"/>
      <c r="J74" s="174">
        <f>D74</f>
        <v>45239</v>
      </c>
      <c r="K74" s="177"/>
      <c r="L74" s="82"/>
      <c r="M74" s="176"/>
      <c r="N74" s="174">
        <f>J74</f>
        <v>45239</v>
      </c>
    </row>
    <row r="75" spans="1:19" ht="20.100000000000001" customHeight="1">
      <c r="A75" s="66"/>
      <c r="B75" s="67"/>
      <c r="C75" s="68"/>
      <c r="D75" s="178"/>
      <c r="E75" s="178"/>
      <c r="F75" s="178"/>
      <c r="G75" s="178"/>
      <c r="H75" s="178"/>
      <c r="I75" s="178"/>
      <c r="J75" s="179"/>
      <c r="K75" s="178"/>
      <c r="L75" s="180"/>
      <c r="M75" s="581"/>
      <c r="N75" s="582"/>
    </row>
    <row r="76" spans="1:19" ht="20.100000000000001" customHeight="1">
      <c r="A76" s="78"/>
      <c r="C76" s="79"/>
      <c r="D76" s="667" t="str">
        <f>D2</f>
        <v>MAC QT 315 L</v>
      </c>
      <c r="E76" s="668"/>
      <c r="F76" s="668"/>
      <c r="G76" s="668"/>
      <c r="H76" s="668"/>
      <c r="I76" s="668"/>
      <c r="J76" s="668"/>
      <c r="K76" s="669"/>
      <c r="L76" s="181"/>
      <c r="M76" s="670"/>
      <c r="N76" s="592"/>
    </row>
    <row r="77" spans="1:19" ht="20.100000000000001" customHeight="1">
      <c r="A77" s="78"/>
      <c r="C77" s="79"/>
      <c r="D77" s="588" t="s">
        <v>104</v>
      </c>
      <c r="E77" s="589"/>
      <c r="F77" s="589"/>
      <c r="G77" s="589"/>
      <c r="H77" s="589"/>
      <c r="I77" s="589"/>
      <c r="J77" s="589"/>
      <c r="K77" s="590"/>
      <c r="L77" s="181" t="s">
        <v>105</v>
      </c>
      <c r="M77" s="591" t="s">
        <v>106</v>
      </c>
      <c r="N77" s="592"/>
    </row>
    <row r="78" spans="1:19" ht="20.100000000000001" customHeight="1">
      <c r="A78" s="78"/>
      <c r="C78" s="79"/>
      <c r="D78" s="597" t="s">
        <v>107</v>
      </c>
      <c r="E78" s="598"/>
      <c r="F78" s="598"/>
      <c r="G78" s="598"/>
      <c r="H78" s="598"/>
      <c r="I78" s="598"/>
      <c r="J78" s="598"/>
      <c r="K78" s="599"/>
      <c r="L78" s="181" t="s">
        <v>13</v>
      </c>
      <c r="M78" s="600">
        <f>M4</f>
        <v>45239</v>
      </c>
      <c r="N78" s="666"/>
    </row>
    <row r="79" spans="1:19" ht="20.100000000000001" customHeight="1" thickBot="1">
      <c r="A79" s="81"/>
      <c r="B79" s="82"/>
      <c r="C79" s="83"/>
      <c r="D79" s="182"/>
      <c r="E79" s="182"/>
      <c r="F79" s="182"/>
      <c r="G79" s="182"/>
      <c r="H79" s="182"/>
      <c r="I79" s="182"/>
      <c r="J79" s="183"/>
      <c r="K79" s="182"/>
      <c r="L79" s="184"/>
      <c r="M79" s="601"/>
      <c r="N79" s="602"/>
    </row>
    <row r="80" spans="1:19" ht="20.100000000000001" customHeight="1" thickBot="1">
      <c r="C80" s="77"/>
      <c r="D80" s="77"/>
      <c r="F80" s="77"/>
      <c r="I80" s="77"/>
      <c r="J80" s="77"/>
      <c r="L80" s="77"/>
      <c r="O80" s="458"/>
      <c r="S80" s="459"/>
    </row>
    <row r="81" spans="1:56" s="136" customFormat="1" ht="18" customHeight="1">
      <c r="A81" s="671" t="s">
        <v>69</v>
      </c>
      <c r="B81" s="672"/>
      <c r="C81" s="672"/>
      <c r="D81" s="672"/>
      <c r="E81" s="673" t="s">
        <v>70</v>
      </c>
      <c r="F81" s="675">
        <f>F21</f>
        <v>500</v>
      </c>
      <c r="G81" s="676"/>
      <c r="H81" s="671" t="s">
        <v>71</v>
      </c>
      <c r="I81" s="672"/>
      <c r="J81" s="672"/>
      <c r="K81" s="672"/>
      <c r="L81" s="673" t="s">
        <v>72</v>
      </c>
      <c r="M81" s="675">
        <f>M21</f>
        <v>500</v>
      </c>
      <c r="N81" s="676"/>
      <c r="O81" s="454"/>
      <c r="P81" s="454"/>
      <c r="Q81" s="682"/>
      <c r="R81" s="682"/>
      <c r="S81" s="682"/>
      <c r="T81" s="682"/>
      <c r="U81" s="454"/>
      <c r="V81" s="454"/>
      <c r="W81" s="682"/>
      <c r="X81" s="682"/>
      <c r="Y81" s="682"/>
      <c r="Z81" s="682"/>
      <c r="AA81" s="682"/>
      <c r="AB81" s="682"/>
      <c r="AC81" s="454"/>
      <c r="AD81" s="454"/>
      <c r="AE81" s="74"/>
      <c r="AF81" s="74"/>
      <c r="AG81" s="74"/>
      <c r="AH81" s="74"/>
      <c r="AI81" s="74"/>
      <c r="AJ81" s="74"/>
      <c r="AK81" s="74"/>
      <c r="AL81" s="290"/>
      <c r="AM81" s="290"/>
      <c r="AN81" s="290"/>
      <c r="AO81" s="291"/>
      <c r="AP81" s="290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420"/>
      <c r="BB81" s="420"/>
      <c r="BC81" s="420"/>
      <c r="BD81" s="420"/>
    </row>
    <row r="82" spans="1:56" s="136" customFormat="1" ht="18" customHeight="1" thickBot="1">
      <c r="A82" s="683" t="s">
        <v>73</v>
      </c>
      <c r="B82" s="684"/>
      <c r="C82" s="684"/>
      <c r="D82" s="684"/>
      <c r="E82" s="674"/>
      <c r="F82" s="677"/>
      <c r="G82" s="678"/>
      <c r="H82" s="683" t="s">
        <v>74</v>
      </c>
      <c r="I82" s="684"/>
      <c r="J82" s="684"/>
      <c r="K82" s="684"/>
      <c r="L82" s="674"/>
      <c r="M82" s="677"/>
      <c r="N82" s="678"/>
      <c r="O82" s="454"/>
      <c r="P82" s="454"/>
      <c r="Q82" s="685"/>
      <c r="R82" s="685"/>
      <c r="S82" s="685"/>
      <c r="T82" s="685"/>
      <c r="U82" s="454"/>
      <c r="V82" s="454"/>
      <c r="W82" s="685"/>
      <c r="X82" s="685"/>
      <c r="Y82" s="685"/>
      <c r="Z82" s="685"/>
      <c r="AA82" s="685"/>
      <c r="AB82" s="685"/>
      <c r="AC82" s="454"/>
      <c r="AD82" s="454"/>
      <c r="AE82" s="74"/>
      <c r="AF82" s="74"/>
      <c r="AG82" s="74"/>
      <c r="AH82" s="74"/>
      <c r="AI82" s="74"/>
      <c r="AJ82" s="74"/>
      <c r="AK82" s="74"/>
      <c r="AL82" s="290"/>
      <c r="AM82" s="290"/>
      <c r="AN82" s="290"/>
      <c r="AO82" s="291"/>
      <c r="AP82" s="290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420"/>
      <c r="BB82" s="420"/>
      <c r="BC82" s="420"/>
      <c r="BD82" s="420"/>
    </row>
    <row r="83" spans="1:56" s="136" customFormat="1" ht="18" customHeight="1" thickBot="1">
      <c r="B83" s="117"/>
      <c r="C83" s="117"/>
      <c r="D83" s="117"/>
      <c r="E83" s="117"/>
      <c r="F83" s="144" t="str">
        <f>IF(F81&gt;500," LA TENSIÓN DE BASE HA DE SER INFERIOR O IGUAL A 500 V"," ")</f>
        <v xml:space="preserve"> </v>
      </c>
      <c r="G83" s="185" t="str">
        <f>IF(M81&gt;500," LA TENSIÓN MÁXIMA HA DE SER INFERIOR O IGUAL A 500 V"," ")</f>
        <v xml:space="preserve"> </v>
      </c>
      <c r="I83" s="186"/>
      <c r="J83" s="117"/>
      <c r="K83" s="186"/>
      <c r="L83" s="186"/>
      <c r="N83" s="144" t="str">
        <f>IF(M81&lt;F81," LA TENSIÓN MÁXIMA HA DE SER SUPERIOR O IGUAL A LA DE BASE"," ")</f>
        <v xml:space="preserve"> </v>
      </c>
      <c r="O83" s="454"/>
      <c r="P83" s="454"/>
      <c r="Q83" s="454"/>
      <c r="R83" s="454"/>
      <c r="S83" s="454"/>
      <c r="T83" s="454"/>
      <c r="U83" s="454"/>
      <c r="V83" s="454"/>
      <c r="W83" s="454"/>
      <c r="X83" s="454"/>
      <c r="Y83" s="454"/>
      <c r="Z83" s="454"/>
      <c r="AA83" s="454"/>
      <c r="AB83" s="454"/>
      <c r="AC83" s="454"/>
      <c r="AD83" s="454"/>
      <c r="AE83" s="74"/>
      <c r="AF83" s="74"/>
      <c r="AG83" s="74"/>
      <c r="AH83" s="74"/>
      <c r="AI83" s="74"/>
      <c r="AJ83" s="74"/>
      <c r="AK83" s="74"/>
      <c r="AL83" s="290"/>
      <c r="AM83" s="290"/>
      <c r="AN83" s="291"/>
      <c r="AO83" s="290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420"/>
      <c r="BB83" s="420"/>
      <c r="BC83" s="420"/>
      <c r="BD83" s="420"/>
    </row>
    <row r="84" spans="1:56" s="136" customFormat="1" ht="18" customHeight="1">
      <c r="B84" s="650" t="s">
        <v>75</v>
      </c>
      <c r="C84" s="651"/>
      <c r="D84" s="651"/>
      <c r="E84" s="651"/>
      <c r="F84" s="654" t="str">
        <f>F24</f>
        <v>S1</v>
      </c>
      <c r="G84" s="142"/>
      <c r="H84" s="650" t="str">
        <f>H24</f>
        <v>Servicio / Service  S6 -</v>
      </c>
      <c r="I84" s="651"/>
      <c r="J84" s="651"/>
      <c r="K84" s="651"/>
      <c r="L84" s="686">
        <f>L24</f>
        <v>0.4</v>
      </c>
      <c r="M84" s="187"/>
      <c r="N84" s="144"/>
      <c r="O84" s="454"/>
      <c r="P84" s="454"/>
      <c r="Q84" s="454"/>
      <c r="R84" s="454"/>
      <c r="S84" s="454"/>
      <c r="T84" s="454"/>
      <c r="U84" s="454"/>
      <c r="V84" s="454"/>
      <c r="W84" s="454"/>
      <c r="X84" s="454"/>
      <c r="Y84" s="454"/>
      <c r="Z84" s="454"/>
      <c r="AA84" s="454"/>
      <c r="AB84" s="454"/>
      <c r="AC84" s="454"/>
      <c r="AD84" s="454"/>
      <c r="AE84" s="74"/>
      <c r="AF84" s="74"/>
      <c r="AG84" s="74"/>
      <c r="AH84" s="74"/>
      <c r="AI84" s="74"/>
      <c r="AJ84" s="74"/>
      <c r="AK84" s="74"/>
      <c r="AL84" s="290"/>
      <c r="AM84" s="290"/>
      <c r="AN84" s="291"/>
      <c r="AO84" s="290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420"/>
      <c r="BB84" s="420"/>
      <c r="BC84" s="420"/>
      <c r="BD84" s="420"/>
    </row>
    <row r="85" spans="1:56" s="136" customFormat="1" ht="18" customHeight="1" thickBot="1">
      <c r="A85" s="107"/>
      <c r="B85" s="652"/>
      <c r="C85" s="653"/>
      <c r="D85" s="653"/>
      <c r="E85" s="653"/>
      <c r="F85" s="655"/>
      <c r="G85" s="145"/>
      <c r="H85" s="652"/>
      <c r="I85" s="653"/>
      <c r="J85" s="653"/>
      <c r="K85" s="653">
        <f>H29</f>
        <v>9227.8155472754024</v>
      </c>
      <c r="L85" s="687">
        <f>L29</f>
        <v>27.796530580694458</v>
      </c>
      <c r="M85" s="188"/>
      <c r="N85" s="85"/>
      <c r="O85" s="454"/>
      <c r="P85" s="454"/>
      <c r="Q85" s="454"/>
      <c r="R85" s="454"/>
      <c r="S85" s="454"/>
      <c r="T85" s="454"/>
      <c r="U85" s="454"/>
      <c r="V85" s="454"/>
      <c r="W85" s="454"/>
      <c r="X85" s="454"/>
      <c r="Y85" s="454"/>
      <c r="Z85" s="454"/>
      <c r="AA85" s="454"/>
      <c r="AB85" s="454"/>
      <c r="AC85" s="454"/>
      <c r="AD85" s="454"/>
      <c r="AE85" s="74"/>
      <c r="AF85" s="74"/>
      <c r="AG85" s="74"/>
      <c r="AH85" s="74"/>
      <c r="AI85" s="74"/>
      <c r="AJ85" s="74"/>
      <c r="AK85" s="74"/>
      <c r="AL85" s="290"/>
      <c r="AM85" s="291"/>
      <c r="AN85" s="290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420"/>
      <c r="BB85" s="420"/>
      <c r="BC85" s="420"/>
      <c r="BD85" s="420"/>
    </row>
    <row r="86" spans="1:56" s="136" customFormat="1" ht="96.75" customHeight="1" thickBot="1">
      <c r="A86" s="189" t="s">
        <v>226</v>
      </c>
      <c r="B86" s="148" t="s">
        <v>79</v>
      </c>
      <c r="C86" s="149" t="s">
        <v>80</v>
      </c>
      <c r="D86" s="148" t="s">
        <v>81</v>
      </c>
      <c r="E86" s="150" t="s">
        <v>82</v>
      </c>
      <c r="F86" s="151" t="s">
        <v>83</v>
      </c>
      <c r="G86" s="149" t="s">
        <v>84</v>
      </c>
      <c r="H86" s="151" t="s">
        <v>79</v>
      </c>
      <c r="I86" s="149" t="s">
        <v>85</v>
      </c>
      <c r="J86" s="148" t="s">
        <v>81</v>
      </c>
      <c r="K86" s="150" t="s">
        <v>82</v>
      </c>
      <c r="L86" s="151" t="s">
        <v>83</v>
      </c>
      <c r="M86" s="149" t="s">
        <v>84</v>
      </c>
      <c r="N86" s="152" t="s">
        <v>86</v>
      </c>
      <c r="O86" s="396" t="s">
        <v>87</v>
      </c>
      <c r="P86" s="396" t="s">
        <v>88</v>
      </c>
      <c r="Q86" s="396" t="s">
        <v>83</v>
      </c>
      <c r="R86" s="396" t="s">
        <v>82</v>
      </c>
      <c r="S86" s="396" t="s">
        <v>89</v>
      </c>
      <c r="T86" s="396"/>
      <c r="U86" s="396" t="s">
        <v>90</v>
      </c>
      <c r="V86" s="396" t="s">
        <v>91</v>
      </c>
      <c r="W86" s="396" t="s">
        <v>92</v>
      </c>
      <c r="X86" s="396" t="s">
        <v>93</v>
      </c>
      <c r="Y86" s="396" t="s">
        <v>94</v>
      </c>
      <c r="Z86" s="396" t="s">
        <v>95</v>
      </c>
      <c r="AA86" s="396" t="s">
        <v>96</v>
      </c>
      <c r="AB86" s="396" t="s">
        <v>97</v>
      </c>
      <c r="AC86" s="396" t="s">
        <v>98</v>
      </c>
      <c r="AD86" s="396" t="s">
        <v>230</v>
      </c>
      <c r="AE86" s="402"/>
      <c r="AF86" s="402"/>
      <c r="AG86" s="402"/>
      <c r="AH86" s="402"/>
      <c r="AI86" s="402"/>
      <c r="AJ86" s="402"/>
      <c r="AK86" s="402"/>
      <c r="AL86" s="402"/>
      <c r="AM86" s="402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420"/>
      <c r="BB86" s="420"/>
      <c r="BC86" s="420"/>
      <c r="BD86" s="420"/>
    </row>
    <row r="87" spans="1:56" s="104" customFormat="1" ht="24.95" customHeight="1" thickBot="1">
      <c r="A87" s="190" t="s">
        <v>237</v>
      </c>
      <c r="B87" s="191">
        <f>VLOOKUP($A$87,$A$27:$Y$40,2,FALSE)</f>
        <v>6200</v>
      </c>
      <c r="C87" s="441">
        <f>VLOOKUP($A$87,$A$27:$Y$40,3,FALSE)</f>
        <v>777.67118882433817</v>
      </c>
      <c r="D87" s="442">
        <f>VLOOKUP($A$87,$A$27:$Y$40,4,FALSE)</f>
        <v>543.74953730905247</v>
      </c>
      <c r="E87" s="193">
        <f>VLOOKUP($A$87,$A$27:$Y$40,5,FALSE)</f>
        <v>837.48800000000006</v>
      </c>
      <c r="F87" s="194">
        <f>VLOOKUP($A$87,$A$27:$Y$40,6,FALSE)</f>
        <v>42.5</v>
      </c>
      <c r="G87" s="192">
        <f>VLOOKUP($A$87,$A$27:$Y$40,7,FALSE)</f>
        <v>1321.6848591302021</v>
      </c>
      <c r="H87" s="191">
        <f>VLOOKUP($A$87,$A$27:$Y$40,8,FALSE)</f>
        <v>9238.1697518084457</v>
      </c>
      <c r="I87" s="441">
        <f>VLOOKUP($A$87,$A$27:$Y$40,9,FALSE)</f>
        <v>1124.3078460672898</v>
      </c>
      <c r="J87" s="442">
        <f>VLOOKUP($A$87,$A$27:$Y$40,10,FALSE)</f>
        <v>810.20169808521393</v>
      </c>
      <c r="K87" s="193">
        <f>VLOOKUP($A$87,$A$27:$Y$40,11,FALSE)</f>
        <v>837.48800000000006</v>
      </c>
      <c r="L87" s="194">
        <f>VLOOKUP($A$87,$A$27:$Y$40,12,FALSE)</f>
        <v>42.806561128505059</v>
      </c>
      <c r="M87" s="192">
        <f>VLOOKUP($A$87,$A$27:$Y$40,13,FALSE)</f>
        <v>838.77026246831065</v>
      </c>
      <c r="N87" s="443">
        <f>VLOOKUP($A$87,$A$27:$Y$40,14,FALSE)</f>
        <v>253.86340501447495</v>
      </c>
      <c r="O87" s="546">
        <f>VLOOKUP($A$87,$A$27:$Y$40,15,FALSE)</f>
        <v>0.95232517130615568</v>
      </c>
      <c r="P87" s="546">
        <f>VLOOKUP($A$87,$A$27:$Y$40,16,FALSE)</f>
        <v>0.84778747419475275</v>
      </c>
      <c r="Q87" s="524">
        <f>VLOOKUP($A$87,$A$27:$Y$40,17,FALSE)</f>
        <v>34</v>
      </c>
      <c r="R87" s="524">
        <f>VLOOKUP($A$87,$A$27:$Y$40,18,FALSE)</f>
        <v>667.48800000000006</v>
      </c>
      <c r="S87" s="525">
        <f>VLOOKUP($A$87,$A$27:$Y$40,19,FALSE)</f>
        <v>12.511999999999944</v>
      </c>
      <c r="T87" s="524"/>
      <c r="U87" s="525">
        <f>VLOOKUP($A$87,$A$27:$Y$40,21,FALSE)</f>
        <v>9238.1697518084457</v>
      </c>
      <c r="V87" s="525">
        <f>VLOOKUP($A$87,$A$27:$Y$40,22,FALSE)</f>
        <v>1124.3078460672898</v>
      </c>
      <c r="W87" s="524">
        <f>VLOOKUP($A$87,$A$27:$Y$40,23,FALSE)</f>
        <v>1646.5901243762389</v>
      </c>
      <c r="X87" s="524">
        <f>VLOOKUP($A$87,$A$27:$Y$40,24,FALSE)</f>
        <v>13722.252236636758</v>
      </c>
      <c r="Y87" s="525">
        <f>VLOOKUP($A$87,$A$27:$Y$40,25,FALSE)</f>
        <v>695.26007394967041</v>
      </c>
      <c r="Z87" s="525">
        <f>VLOOKUP($A$87,$A$27:$AD$40,26,FALSE)</f>
        <v>999.08239516542903</v>
      </c>
      <c r="AA87" s="525">
        <f>VLOOKUP($A$87,$A$27:$AD$40,27,FALSE)</f>
        <v>838.77026246831065</v>
      </c>
      <c r="AB87" s="525">
        <f>VLOOKUP($A$87,$A$27:$AD$40,28,FALSE)</f>
        <v>838.0868736782071</v>
      </c>
      <c r="AC87" s="525">
        <f>VLOOKUP($A$87,$A$27:$AD$40,29,FALSE)</f>
        <v>1321.6848591302021</v>
      </c>
      <c r="AD87" s="523">
        <f>VLOOKUP($A$87,$A$27:$AD$40,30,FALSE)</f>
        <v>0.877</v>
      </c>
      <c r="AE87" s="102"/>
      <c r="AF87" s="102"/>
      <c r="AG87" s="102"/>
      <c r="AH87" s="102"/>
      <c r="AI87" s="102"/>
      <c r="AJ87" s="102"/>
      <c r="AK87" s="102"/>
      <c r="AL87" s="102"/>
      <c r="AM87" s="102"/>
      <c r="AN87" s="102"/>
      <c r="AO87" s="102"/>
      <c r="AP87" s="102"/>
      <c r="AQ87" s="102"/>
      <c r="AR87" s="102"/>
      <c r="AS87" s="102"/>
      <c r="AT87" s="102"/>
      <c r="AU87" s="102"/>
      <c r="AV87" s="102"/>
      <c r="AW87" s="102"/>
      <c r="AX87" s="102"/>
      <c r="AY87" s="102"/>
      <c r="AZ87" s="102"/>
      <c r="BA87" s="101"/>
      <c r="BB87" s="101"/>
      <c r="BC87" s="101"/>
      <c r="BD87" s="101"/>
    </row>
    <row r="88" spans="1:56" ht="19.5" customHeight="1" thickBot="1">
      <c r="A88" s="195" t="str">
        <f>IF(O87=0,"ESTE BOBINADO NO EXISTE   /   THIS WINDING DOESN'T EXIST","")</f>
        <v/>
      </c>
      <c r="B88" s="196"/>
      <c r="C88" s="196"/>
      <c r="D88" s="196"/>
      <c r="E88" s="196"/>
      <c r="F88" s="196"/>
      <c r="G88" s="196"/>
      <c r="H88" s="196"/>
      <c r="I88" s="196"/>
      <c r="J88" s="196"/>
      <c r="K88" s="196"/>
      <c r="L88" s="196"/>
      <c r="M88" s="196"/>
      <c r="N88" s="196"/>
      <c r="O88" s="547"/>
      <c r="P88" s="548"/>
      <c r="Q88" s="548"/>
      <c r="R88" s="397"/>
      <c r="S88" s="549"/>
      <c r="T88" s="74"/>
      <c r="U88" s="290"/>
      <c r="V88" s="290"/>
      <c r="W88" s="290"/>
      <c r="X88" s="74"/>
      <c r="Y88" s="74"/>
      <c r="Z88" s="74"/>
      <c r="AA88" s="74"/>
      <c r="AB88" s="74"/>
      <c r="AC88" s="74"/>
      <c r="AD88" s="74"/>
    </row>
    <row r="89" spans="1:56" ht="15" customHeight="1">
      <c r="A89" s="688" t="s">
        <v>108</v>
      </c>
      <c r="B89" s="689"/>
      <c r="C89" s="690"/>
      <c r="D89" s="196"/>
      <c r="E89" s="196"/>
      <c r="F89" s="196"/>
      <c r="G89" s="196"/>
      <c r="H89" s="196"/>
      <c r="I89" s="196"/>
      <c r="J89" s="196"/>
      <c r="K89" s="196"/>
      <c r="L89" s="196"/>
      <c r="M89" s="196"/>
      <c r="N89" s="196"/>
      <c r="O89" s="399"/>
      <c r="P89" s="548"/>
      <c r="Q89" s="548"/>
      <c r="R89" s="548"/>
      <c r="S89" s="549"/>
      <c r="T89" s="74"/>
      <c r="U89" s="290"/>
      <c r="V89" s="290"/>
      <c r="W89" s="290"/>
      <c r="X89" s="74"/>
      <c r="Y89" s="74"/>
      <c r="Z89" s="74"/>
      <c r="AA89" s="74"/>
      <c r="AB89" s="74"/>
      <c r="AC89" s="74"/>
      <c r="AD89" s="74"/>
    </row>
    <row r="90" spans="1:56" ht="15" customHeight="1" thickBot="1">
      <c r="A90" s="679"/>
      <c r="B90" s="680"/>
      <c r="C90" s="681"/>
      <c r="D90" s="196"/>
      <c r="E90" s="196"/>
      <c r="F90" s="196"/>
      <c r="G90" s="196"/>
      <c r="H90" s="196"/>
      <c r="I90" s="196"/>
      <c r="J90" s="196"/>
      <c r="K90" s="196"/>
      <c r="L90" s="196"/>
      <c r="M90" s="196"/>
      <c r="N90" s="196"/>
      <c r="O90" s="550"/>
      <c r="P90" s="551"/>
      <c r="Q90" s="551"/>
      <c r="R90" s="552"/>
      <c r="S90" s="549"/>
      <c r="T90" s="74"/>
      <c r="U90" s="290"/>
      <c r="V90" s="290"/>
      <c r="W90" s="290"/>
      <c r="X90" s="74"/>
      <c r="Y90" s="74"/>
      <c r="Z90" s="74"/>
      <c r="AA90" s="74"/>
      <c r="AB90" s="74"/>
      <c r="AC90" s="74"/>
      <c r="AD90" s="74"/>
    </row>
    <row r="91" spans="1:56" ht="15" customHeight="1" thickBot="1">
      <c r="A91" s="368" t="s">
        <v>82</v>
      </c>
      <c r="B91" s="368" t="s">
        <v>109</v>
      </c>
      <c r="C91" s="368" t="s">
        <v>110</v>
      </c>
      <c r="D91" s="196"/>
      <c r="E91" s="196"/>
      <c r="F91" s="196"/>
      <c r="G91" s="196"/>
      <c r="H91" s="196"/>
      <c r="I91" s="196"/>
      <c r="J91" s="196"/>
      <c r="K91" s="196"/>
      <c r="L91" s="196"/>
      <c r="M91" s="196"/>
      <c r="N91" s="196"/>
      <c r="O91" s="550"/>
      <c r="P91" s="547"/>
      <c r="Q91" s="547"/>
      <c r="R91" s="553"/>
      <c r="S91" s="549"/>
      <c r="T91" s="74"/>
      <c r="U91" s="290"/>
      <c r="V91" s="290"/>
      <c r="W91" s="290"/>
      <c r="X91" s="74"/>
      <c r="Y91" s="74"/>
      <c r="Z91" s="74"/>
      <c r="AA91" s="74"/>
      <c r="AB91" s="74"/>
      <c r="AC91" s="74"/>
      <c r="AD91" s="74"/>
    </row>
    <row r="92" spans="1:56" ht="15" customHeight="1">
      <c r="A92" s="369"/>
      <c r="B92" s="370"/>
      <c r="C92" s="371"/>
      <c r="D92" s="196"/>
      <c r="E92" s="196"/>
      <c r="F92" s="196"/>
      <c r="G92" s="196"/>
      <c r="H92" s="196"/>
      <c r="I92" s="196"/>
      <c r="J92" s="196"/>
      <c r="K92" s="196"/>
      <c r="L92" s="196"/>
      <c r="M92" s="196"/>
      <c r="N92" s="196"/>
      <c r="O92" s="550"/>
      <c r="P92" s="547"/>
      <c r="Q92" s="547"/>
      <c r="R92" s="553"/>
      <c r="S92" s="549"/>
      <c r="T92" s="74"/>
      <c r="U92" s="290"/>
      <c r="V92" s="290"/>
      <c r="W92" s="290"/>
      <c r="X92" s="74"/>
      <c r="Y92" s="74"/>
      <c r="Z92" s="74"/>
      <c r="AA92" s="74"/>
      <c r="AB92" s="74"/>
      <c r="AC92" s="74"/>
      <c r="AD92" s="74"/>
    </row>
    <row r="93" spans="1:56" ht="15" customHeight="1">
      <c r="A93" s="372"/>
      <c r="B93" s="373"/>
      <c r="C93" s="374"/>
      <c r="D93" s="196"/>
      <c r="E93" s="196"/>
      <c r="F93" s="196"/>
      <c r="G93" s="196"/>
      <c r="H93" s="196"/>
      <c r="I93" s="196"/>
      <c r="J93" s="196"/>
      <c r="K93" s="196"/>
      <c r="L93" s="196"/>
      <c r="M93" s="196"/>
      <c r="N93" s="196"/>
      <c r="O93" s="550"/>
      <c r="P93" s="547"/>
      <c r="Q93" s="547"/>
      <c r="R93" s="552"/>
      <c r="S93" s="549"/>
      <c r="T93" s="74"/>
      <c r="U93" s="290"/>
      <c r="V93" s="290"/>
      <c r="W93" s="290"/>
      <c r="X93" s="74"/>
      <c r="Y93" s="74"/>
      <c r="Z93" s="74"/>
      <c r="AA93" s="74"/>
      <c r="AB93" s="74"/>
      <c r="AC93" s="74"/>
      <c r="AD93" s="74"/>
    </row>
    <row r="94" spans="1:56" ht="15" customHeight="1">
      <c r="A94" s="372"/>
      <c r="B94" s="373"/>
      <c r="C94" s="374"/>
      <c r="D94" s="196"/>
      <c r="E94" s="196"/>
      <c r="F94" s="196"/>
      <c r="G94" s="196"/>
      <c r="H94" s="196"/>
      <c r="I94" s="196"/>
      <c r="J94" s="196"/>
      <c r="K94" s="196"/>
      <c r="L94" s="196"/>
      <c r="M94" s="196"/>
      <c r="O94" s="550"/>
      <c r="P94" s="551"/>
      <c r="Q94" s="554"/>
      <c r="R94" s="555"/>
      <c r="S94" s="549"/>
      <c r="T94" s="74"/>
      <c r="U94" s="290"/>
      <c r="V94" s="290"/>
      <c r="W94" s="398"/>
      <c r="X94" s="74"/>
      <c r="Y94" s="74"/>
      <c r="Z94" s="74"/>
      <c r="AA94" s="74"/>
      <c r="AB94" s="74"/>
      <c r="AC94" s="74"/>
      <c r="AD94" s="74"/>
    </row>
    <row r="95" spans="1:56" ht="15" customHeight="1">
      <c r="A95" s="372"/>
      <c r="B95" s="373"/>
      <c r="C95" s="374"/>
      <c r="D95" s="77"/>
      <c r="F95" s="77"/>
      <c r="I95" s="77"/>
      <c r="J95" s="77"/>
      <c r="L95" s="77"/>
      <c r="N95" s="197"/>
      <c r="O95" s="550"/>
      <c r="P95" s="554"/>
      <c r="Q95" s="555"/>
      <c r="R95" s="555"/>
      <c r="S95" s="549"/>
      <c r="T95" s="74"/>
      <c r="U95" s="290"/>
      <c r="V95" s="290"/>
      <c r="W95" s="290"/>
      <c r="X95" s="74"/>
      <c r="Y95" s="74"/>
      <c r="Z95" s="74"/>
      <c r="AA95" s="74"/>
      <c r="AB95" s="74"/>
      <c r="AC95" s="74"/>
      <c r="AD95" s="74"/>
    </row>
    <row r="96" spans="1:56" ht="15" customHeight="1">
      <c r="A96" s="372"/>
      <c r="B96" s="373"/>
      <c r="C96" s="374"/>
      <c r="D96" s="197"/>
      <c r="E96" s="197"/>
      <c r="F96" s="197"/>
      <c r="G96" s="197"/>
      <c r="H96" s="197"/>
      <c r="I96" s="197"/>
      <c r="J96" s="197"/>
      <c r="K96" s="197"/>
      <c r="L96" s="197"/>
      <c r="M96" s="197"/>
      <c r="O96" s="550"/>
      <c r="P96" s="547"/>
      <c r="Q96" s="552"/>
      <c r="R96" s="556"/>
      <c r="S96" s="549"/>
      <c r="T96" s="74"/>
      <c r="U96" s="74"/>
      <c r="V96" s="74"/>
      <c r="W96" s="290"/>
      <c r="X96" s="74"/>
      <c r="Y96" s="74"/>
      <c r="Z96" s="74"/>
      <c r="AA96" s="74"/>
      <c r="AB96" s="74"/>
      <c r="AC96" s="74"/>
      <c r="AD96" s="74"/>
    </row>
    <row r="97" spans="1:30" ht="15" customHeight="1">
      <c r="A97" s="372"/>
      <c r="B97" s="373"/>
      <c r="C97" s="374"/>
      <c r="D97" s="77"/>
      <c r="F97" s="77"/>
      <c r="I97" s="77"/>
      <c r="J97" s="77"/>
      <c r="L97" s="77"/>
      <c r="O97" s="562"/>
      <c r="P97" s="555"/>
      <c r="Q97" s="550"/>
      <c r="R97" s="558"/>
      <c r="S97" s="74"/>
      <c r="T97" s="74"/>
      <c r="U97" s="74"/>
      <c r="V97" s="74"/>
      <c r="W97" s="290"/>
      <c r="X97" s="74"/>
      <c r="Y97" s="74"/>
      <c r="Z97" s="420"/>
      <c r="AA97" s="420"/>
      <c r="AB97" s="420"/>
      <c r="AC97" s="420"/>
      <c r="AD97" s="74"/>
    </row>
    <row r="98" spans="1:30" ht="15" customHeight="1">
      <c r="A98" s="372"/>
      <c r="B98" s="373"/>
      <c r="C98" s="374"/>
      <c r="D98" s="77"/>
      <c r="F98" s="77"/>
      <c r="I98" s="77"/>
      <c r="J98" s="77"/>
      <c r="L98" s="77"/>
      <c r="O98" s="563"/>
      <c r="P98" s="547"/>
      <c r="Q98" s="551"/>
      <c r="R98" s="102"/>
      <c r="S98" s="402"/>
      <c r="T98" s="401"/>
      <c r="U98" s="102"/>
      <c r="V98" s="102"/>
      <c r="W98" s="290"/>
      <c r="X98" s="74"/>
      <c r="Y98" s="74"/>
      <c r="Z98" s="420"/>
      <c r="AA98" s="420"/>
      <c r="AB98" s="420"/>
      <c r="AC98" s="420"/>
      <c r="AD98" s="74"/>
    </row>
    <row r="99" spans="1:30" ht="15" customHeight="1">
      <c r="A99" s="372"/>
      <c r="B99" s="373"/>
      <c r="C99" s="374"/>
      <c r="D99" s="77"/>
      <c r="F99" s="77"/>
      <c r="I99" s="77"/>
      <c r="J99" s="77"/>
      <c r="L99" s="77"/>
      <c r="O99" s="420"/>
      <c r="P99" s="74" t="s">
        <v>111</v>
      </c>
      <c r="Q99" s="74" t="s">
        <v>260</v>
      </c>
      <c r="R99" s="74" t="s">
        <v>112</v>
      </c>
      <c r="S99" s="74" t="s">
        <v>113</v>
      </c>
      <c r="T99" s="74" t="s">
        <v>114</v>
      </c>
      <c r="U99" s="74" t="s">
        <v>90</v>
      </c>
      <c r="V99" s="74" t="s">
        <v>115</v>
      </c>
      <c r="W99" s="559" t="s">
        <v>116</v>
      </c>
      <c r="X99" s="74" t="s">
        <v>117</v>
      </c>
      <c r="Y99" s="74"/>
      <c r="Z99" s="420"/>
      <c r="AA99" s="420"/>
      <c r="AB99" s="420"/>
      <c r="AC99" s="420"/>
      <c r="AD99" s="74"/>
    </row>
    <row r="100" spans="1:30" ht="15" customHeight="1">
      <c r="A100" s="372"/>
      <c r="B100" s="373"/>
      <c r="C100" s="374"/>
      <c r="D100" s="77"/>
      <c r="F100" s="77"/>
      <c r="I100" s="77"/>
      <c r="J100" s="77"/>
      <c r="L100" s="77"/>
      <c r="O100" s="420"/>
      <c r="P100" s="526">
        <v>10</v>
      </c>
      <c r="Q100" s="556">
        <f>IF($D$87&lt;W100*0.9,$D$87,W100*0.9)</f>
        <v>12.932918045197244</v>
      </c>
      <c r="R100" s="556">
        <f>B87</f>
        <v>6200</v>
      </c>
      <c r="S100" s="526">
        <f>P100</f>
        <v>10</v>
      </c>
      <c r="T100" s="556">
        <f>U100*V100*PI()/30000</f>
        <v>9.6741887416322854</v>
      </c>
      <c r="U100" s="556">
        <f>H87</f>
        <v>9238.1697518084457</v>
      </c>
      <c r="V100" s="526">
        <f>P100</f>
        <v>10</v>
      </c>
      <c r="W100" s="526">
        <f>X100*V100*PI()/30000</f>
        <v>14.369908939108049</v>
      </c>
      <c r="X100" s="556">
        <f>'limit 480V'!K27*0.95</f>
        <v>13722.252236636758</v>
      </c>
      <c r="Y100" s="74"/>
      <c r="Z100" s="420"/>
      <c r="AA100" s="420"/>
      <c r="AB100" s="420"/>
      <c r="AC100" s="420"/>
      <c r="AD100" s="74"/>
    </row>
    <row r="101" spans="1:30" ht="15" customHeight="1">
      <c r="A101" s="372"/>
      <c r="B101" s="373"/>
      <c r="C101" s="374"/>
      <c r="D101" s="77"/>
      <c r="F101" s="77"/>
      <c r="I101" s="77"/>
      <c r="J101" s="77"/>
      <c r="L101" s="77"/>
      <c r="O101" s="420"/>
      <c r="P101" s="526">
        <f>E87</f>
        <v>837.48800000000006</v>
      </c>
      <c r="Q101" s="556">
        <f>R101*P101*PI()/30000</f>
        <v>543.74953730905247</v>
      </c>
      <c r="R101" s="556">
        <f>B87</f>
        <v>6200</v>
      </c>
      <c r="S101" s="526">
        <f>K87</f>
        <v>837.48800000000006</v>
      </c>
      <c r="T101" s="556">
        <f>U101*S101*PI()/30000</f>
        <v>810.20169808521393</v>
      </c>
      <c r="U101" s="556">
        <f>H87</f>
        <v>9238.1697518084457</v>
      </c>
      <c r="V101" s="526">
        <f>Y87</f>
        <v>695.26007394967041</v>
      </c>
      <c r="W101" s="526">
        <f t="shared" ref="W101:W131" si="26">X101*V101*PI()/30000</f>
        <v>999.08239516542903</v>
      </c>
      <c r="X101" s="556">
        <f>X100</f>
        <v>13722.252236636758</v>
      </c>
      <c r="Y101" s="74"/>
      <c r="Z101" s="420"/>
      <c r="AA101" s="420"/>
      <c r="AB101" s="420"/>
      <c r="AC101" s="420"/>
      <c r="AD101" s="74"/>
    </row>
    <row r="102" spans="1:30" ht="15" customHeight="1">
      <c r="A102" s="372"/>
      <c r="B102" s="373"/>
      <c r="C102" s="374"/>
      <c r="D102" s="77"/>
      <c r="F102" s="77"/>
      <c r="I102" s="77"/>
      <c r="J102" s="77"/>
      <c r="L102" s="77"/>
      <c r="O102" s="420"/>
      <c r="P102" s="526">
        <f>P101</f>
        <v>837.48800000000006</v>
      </c>
      <c r="Q102" s="556">
        <f>R102*P102*PI()/30000</f>
        <v>543.74953730905247</v>
      </c>
      <c r="R102" s="556">
        <f t="shared" ref="R102:R111" si="27">R101*P101/P102</f>
        <v>6200</v>
      </c>
      <c r="S102" s="526">
        <f>S101</f>
        <v>837.48800000000006</v>
      </c>
      <c r="T102" s="556">
        <f>U102*S102*PI()/30000</f>
        <v>810.20169808521393</v>
      </c>
      <c r="U102" s="556">
        <f t="shared" ref="U102:U111" si="28">U101*S101/S102</f>
        <v>9238.1697518084457</v>
      </c>
      <c r="V102" s="526">
        <f>V101</f>
        <v>695.26007394967041</v>
      </c>
      <c r="W102" s="526">
        <f t="shared" si="26"/>
        <v>999.08239516542903</v>
      </c>
      <c r="X102" s="556">
        <f>X101</f>
        <v>13722.252236636758</v>
      </c>
      <c r="Y102" s="74"/>
      <c r="Z102" s="420"/>
      <c r="AA102" s="420"/>
      <c r="AB102" s="420"/>
      <c r="AC102" s="420"/>
      <c r="AD102" s="74"/>
    </row>
    <row r="103" spans="1:30" ht="15" customHeight="1">
      <c r="A103" s="372"/>
      <c r="B103" s="373"/>
      <c r="C103" s="374"/>
      <c r="D103" s="77"/>
      <c r="F103" s="77"/>
      <c r="I103" s="77"/>
      <c r="J103" s="77"/>
      <c r="L103" s="77"/>
      <c r="O103" s="420"/>
      <c r="P103" s="526">
        <f>P102+($P$112-$P$102)/10</f>
        <v>885.90768591302026</v>
      </c>
      <c r="Q103" s="556">
        <f t="shared" ref="Q103:Q111" si="29">R103*P103*PI()/30000</f>
        <v>543.74953730905247</v>
      </c>
      <c r="R103" s="556">
        <f t="shared" si="27"/>
        <v>5861.1361912371995</v>
      </c>
      <c r="S103" s="526">
        <f t="shared" ref="S103:S110" si="30">S102+($S$112-$S$102)/10</f>
        <v>837.61622624683116</v>
      </c>
      <c r="T103" s="556">
        <f t="shared" ref="T103:T111" si="31">U103*S103*PI()/30000</f>
        <v>810.20169808521382</v>
      </c>
      <c r="U103" s="556">
        <f t="shared" si="28"/>
        <v>9236.7555291635817</v>
      </c>
      <c r="V103" s="526">
        <f t="shared" ref="V103:V131" si="32">IF(V102*1.1&gt;MIN($L$13,$D$112),MIN($L$13,$D$112),V102*1.1)</f>
        <v>764.78608134463752</v>
      </c>
      <c r="W103" s="526">
        <f t="shared" si="26"/>
        <v>918.96701110799643</v>
      </c>
      <c r="X103" s="556">
        <f t="shared" ref="X103:X130" si="33">X102*(V102/V103)^(1+$AD$87)</f>
        <v>11474.435473439036</v>
      </c>
      <c r="Y103" s="74"/>
      <c r="Z103" s="420"/>
      <c r="AA103" s="420"/>
      <c r="AB103" s="420"/>
      <c r="AC103" s="420"/>
      <c r="AD103" s="74"/>
    </row>
    <row r="104" spans="1:30" ht="15" customHeight="1">
      <c r="A104" s="372"/>
      <c r="B104" s="373"/>
      <c r="C104" s="374"/>
      <c r="D104" s="77"/>
      <c r="F104" s="77"/>
      <c r="I104" s="77"/>
      <c r="J104" s="77"/>
      <c r="L104" s="77"/>
      <c r="O104" s="420"/>
      <c r="P104" s="526">
        <f t="shared" ref="P104:P111" si="34">P103+($P$112-$P$102)/10</f>
        <v>934.32737182604046</v>
      </c>
      <c r="Q104" s="556">
        <f t="shared" si="29"/>
        <v>543.74953730905247</v>
      </c>
      <c r="R104" s="556">
        <f t="shared" si="27"/>
        <v>5557.3942887405447</v>
      </c>
      <c r="S104" s="526">
        <f t="shared" si="30"/>
        <v>837.74445249366227</v>
      </c>
      <c r="T104" s="556">
        <f t="shared" si="31"/>
        <v>810.20169808521382</v>
      </c>
      <c r="U104" s="556">
        <f t="shared" si="28"/>
        <v>9235.341739444204</v>
      </c>
      <c r="V104" s="526">
        <f t="shared" si="32"/>
        <v>841.26468947910132</v>
      </c>
      <c r="W104" s="526">
        <f t="shared" si="26"/>
        <v>845.27599684601739</v>
      </c>
      <c r="X104" s="556">
        <f t="shared" si="33"/>
        <v>9594.8294174765779</v>
      </c>
      <c r="Y104" s="74"/>
      <c r="Z104" s="420"/>
      <c r="AA104" s="420"/>
      <c r="AB104" s="420"/>
      <c r="AC104" s="420"/>
      <c r="AD104" s="74"/>
    </row>
    <row r="105" spans="1:30" ht="15" customHeight="1">
      <c r="A105" s="372"/>
      <c r="B105" s="373"/>
      <c r="C105" s="374"/>
      <c r="D105" s="77"/>
      <c r="F105" s="77"/>
      <c r="I105" s="77"/>
      <c r="J105" s="77"/>
      <c r="L105" s="77"/>
      <c r="O105" s="420"/>
      <c r="P105" s="526">
        <f t="shared" si="34"/>
        <v>982.74705773906066</v>
      </c>
      <c r="Q105" s="556">
        <f t="shared" si="29"/>
        <v>543.74953730905247</v>
      </c>
      <c r="R105" s="556">
        <f t="shared" si="27"/>
        <v>5283.582951594748</v>
      </c>
      <c r="S105" s="526">
        <f t="shared" si="30"/>
        <v>837.87267874049337</v>
      </c>
      <c r="T105" s="556">
        <f t="shared" si="31"/>
        <v>810.20169808521382</v>
      </c>
      <c r="U105" s="556">
        <f t="shared" si="28"/>
        <v>9233.9283824515496</v>
      </c>
      <c r="V105" s="526">
        <f t="shared" si="32"/>
        <v>925.39115842701153</v>
      </c>
      <c r="W105" s="526">
        <f t="shared" si="26"/>
        <v>777.49418880941914</v>
      </c>
      <c r="X105" s="556">
        <f t="shared" si="33"/>
        <v>8023.1181537057464</v>
      </c>
      <c r="Y105" s="74"/>
      <c r="Z105" s="420"/>
      <c r="AA105" s="420"/>
      <c r="AB105" s="420"/>
      <c r="AC105" s="420"/>
      <c r="AD105" s="74"/>
    </row>
    <row r="106" spans="1:30" ht="15" customHeight="1">
      <c r="A106" s="372"/>
      <c r="B106" s="373"/>
      <c r="C106" s="374"/>
      <c r="D106" s="77"/>
      <c r="F106" s="77"/>
      <c r="I106" s="77"/>
      <c r="J106" s="77"/>
      <c r="L106" s="77"/>
      <c r="N106" s="92"/>
      <c r="O106" s="420"/>
      <c r="P106" s="526">
        <f t="shared" si="34"/>
        <v>1031.1667436520809</v>
      </c>
      <c r="Q106" s="556">
        <f t="shared" si="29"/>
        <v>543.74953730905247</v>
      </c>
      <c r="R106" s="556">
        <f t="shared" si="27"/>
        <v>5035.485901736899</v>
      </c>
      <c r="S106" s="526">
        <f t="shared" si="30"/>
        <v>838.00090498732447</v>
      </c>
      <c r="T106" s="556">
        <f t="shared" si="31"/>
        <v>810.20169808521382</v>
      </c>
      <c r="U106" s="556">
        <f t="shared" si="28"/>
        <v>9232.5154579869795</v>
      </c>
      <c r="V106" s="526">
        <f t="shared" si="32"/>
        <v>1017.9302742697128</v>
      </c>
      <c r="W106" s="526">
        <f t="shared" si="26"/>
        <v>715.14773386205263</v>
      </c>
      <c r="X106" s="556">
        <f t="shared" si="33"/>
        <v>6708.8660055878318</v>
      </c>
      <c r="Y106" s="74"/>
      <c r="Z106" s="420"/>
      <c r="AA106" s="420"/>
      <c r="AB106" s="420"/>
      <c r="AC106" s="420"/>
      <c r="AD106" s="74"/>
    </row>
    <row r="107" spans="1:30" ht="15" customHeight="1">
      <c r="A107" s="372"/>
      <c r="B107" s="373"/>
      <c r="C107" s="374"/>
      <c r="D107" s="77"/>
      <c r="F107" s="77"/>
      <c r="I107" s="77"/>
      <c r="J107" s="77"/>
      <c r="L107" s="77"/>
      <c r="N107" s="92"/>
      <c r="O107" s="420"/>
      <c r="P107" s="526">
        <f t="shared" si="34"/>
        <v>1079.5864295651011</v>
      </c>
      <c r="Q107" s="556">
        <f t="shared" si="29"/>
        <v>543.74953730905247</v>
      </c>
      <c r="R107" s="556">
        <f t="shared" si="27"/>
        <v>4809.6432650526267</v>
      </c>
      <c r="S107" s="526">
        <f t="shared" si="30"/>
        <v>838.12913123415558</v>
      </c>
      <c r="T107" s="556">
        <f t="shared" si="31"/>
        <v>810.20169808521382</v>
      </c>
      <c r="U107" s="556">
        <f t="shared" si="28"/>
        <v>9231.1029658519728</v>
      </c>
      <c r="V107" s="526">
        <f t="shared" si="32"/>
        <v>1119.7233016966841</v>
      </c>
      <c r="W107" s="526">
        <f t="shared" si="26"/>
        <v>657.80077666071588</v>
      </c>
      <c r="X107" s="556">
        <f t="shared" si="33"/>
        <v>5609.8990714904485</v>
      </c>
      <c r="Y107" s="74"/>
      <c r="Z107" s="420"/>
      <c r="AA107" s="420"/>
      <c r="AB107" s="420"/>
      <c r="AC107" s="420"/>
      <c r="AD107" s="74"/>
    </row>
    <row r="108" spans="1:30" ht="15" customHeight="1">
      <c r="A108" s="372"/>
      <c r="B108" s="373"/>
      <c r="C108" s="374"/>
      <c r="D108" s="77"/>
      <c r="F108" s="77"/>
      <c r="I108" s="77"/>
      <c r="J108" s="77"/>
      <c r="L108" s="77"/>
      <c r="O108" s="420"/>
      <c r="P108" s="526">
        <f t="shared" si="34"/>
        <v>1128.0061154781213</v>
      </c>
      <c r="Q108" s="556">
        <f t="shared" si="29"/>
        <v>543.74953730905247</v>
      </c>
      <c r="R108" s="556">
        <f t="shared" si="27"/>
        <v>4603.1892281001665</v>
      </c>
      <c r="S108" s="526">
        <f t="shared" si="30"/>
        <v>838.25735748098668</v>
      </c>
      <c r="T108" s="556">
        <f t="shared" si="31"/>
        <v>810.20169808521382</v>
      </c>
      <c r="U108" s="556">
        <f t="shared" si="28"/>
        <v>9229.6909058481342</v>
      </c>
      <c r="V108" s="526">
        <f t="shared" si="32"/>
        <v>1231.6956318663526</v>
      </c>
      <c r="W108" s="526">
        <f t="shared" si="26"/>
        <v>605.05241265143457</v>
      </c>
      <c r="X108" s="556">
        <f t="shared" si="33"/>
        <v>4690.9518786181061</v>
      </c>
      <c r="Y108" s="74"/>
      <c r="Z108" s="420"/>
      <c r="AA108" s="420"/>
      <c r="AB108" s="420"/>
      <c r="AC108" s="420"/>
      <c r="AD108" s="74"/>
    </row>
    <row r="109" spans="1:30" ht="15" customHeight="1">
      <c r="A109" s="372"/>
      <c r="B109" s="373"/>
      <c r="C109" s="374"/>
      <c r="D109" s="77"/>
      <c r="F109" s="77"/>
      <c r="I109" s="77"/>
      <c r="J109" s="77"/>
      <c r="L109" s="77"/>
      <c r="O109" s="420"/>
      <c r="P109" s="526">
        <f t="shared" si="34"/>
        <v>1176.4258013911415</v>
      </c>
      <c r="Q109" s="556">
        <f t="shared" si="29"/>
        <v>543.74953730905247</v>
      </c>
      <c r="R109" s="556">
        <f t="shared" si="27"/>
        <v>4413.729785473829</v>
      </c>
      <c r="S109" s="526">
        <f t="shared" si="30"/>
        <v>838.38558372781779</v>
      </c>
      <c r="T109" s="556">
        <f t="shared" si="31"/>
        <v>810.20169808521382</v>
      </c>
      <c r="U109" s="556">
        <f t="shared" si="28"/>
        <v>9228.2792777771865</v>
      </c>
      <c r="V109" s="526">
        <f t="shared" si="32"/>
        <v>1354.8651950529879</v>
      </c>
      <c r="W109" s="526">
        <f t="shared" si="26"/>
        <v>556.53388540181822</v>
      </c>
      <c r="X109" s="556">
        <f t="shared" si="33"/>
        <v>3922.5357260597571</v>
      </c>
      <c r="Y109" s="74"/>
      <c r="Z109" s="420"/>
      <c r="AA109" s="420"/>
      <c r="AB109" s="420"/>
      <c r="AC109" s="420"/>
      <c r="AD109" s="74"/>
    </row>
    <row r="110" spans="1:30" ht="15" customHeight="1">
      <c r="A110" s="372"/>
      <c r="B110" s="373"/>
      <c r="C110" s="374"/>
      <c r="D110" s="77"/>
      <c r="F110" s="77"/>
      <c r="I110" s="77"/>
      <c r="J110" s="77"/>
      <c r="L110" s="77"/>
      <c r="O110" s="420"/>
      <c r="P110" s="526">
        <f t="shared" si="34"/>
        <v>1224.8454873041617</v>
      </c>
      <c r="Q110" s="556">
        <f t="shared" si="29"/>
        <v>543.74953730905247</v>
      </c>
      <c r="R110" s="556">
        <f t="shared" si="27"/>
        <v>4239.2494839723267</v>
      </c>
      <c r="S110" s="526">
        <f t="shared" si="30"/>
        <v>838.51380997464889</v>
      </c>
      <c r="T110" s="556">
        <f t="shared" si="31"/>
        <v>810.20169808521382</v>
      </c>
      <c r="U110" s="556">
        <f t="shared" si="28"/>
        <v>9226.8680814409745</v>
      </c>
      <c r="V110" s="526">
        <f t="shared" si="32"/>
        <v>1490.3517145582869</v>
      </c>
      <c r="W110" s="526">
        <f t="shared" si="26"/>
        <v>511.90600867643656</v>
      </c>
      <c r="X110" s="556">
        <f t="shared" si="33"/>
        <v>3279.9924024690158</v>
      </c>
      <c r="Y110" s="74"/>
      <c r="Z110" s="420"/>
      <c r="AA110" s="420"/>
      <c r="AB110" s="420"/>
      <c r="AC110" s="420"/>
      <c r="AD110" s="74"/>
    </row>
    <row r="111" spans="1:30" ht="15" customHeight="1" thickBot="1">
      <c r="A111" s="375"/>
      <c r="B111" s="376"/>
      <c r="C111" s="377"/>
      <c r="D111" s="77"/>
      <c r="F111" s="77"/>
      <c r="I111" s="77"/>
      <c r="J111" s="77"/>
      <c r="L111" s="77"/>
      <c r="O111" s="420"/>
      <c r="P111" s="526">
        <f t="shared" si="34"/>
        <v>1273.2651732171819</v>
      </c>
      <c r="Q111" s="556">
        <f t="shared" si="29"/>
        <v>543.74953730905247</v>
      </c>
      <c r="R111" s="556">
        <f t="shared" si="27"/>
        <v>4078.0394447452027</v>
      </c>
      <c r="S111" s="526">
        <f>S110+($S$112-$S$102)/10</f>
        <v>838.64203622148</v>
      </c>
      <c r="T111" s="556">
        <f t="shared" si="31"/>
        <v>810.20169808521382</v>
      </c>
      <c r="U111" s="556">
        <f t="shared" si="28"/>
        <v>9225.4573166414666</v>
      </c>
      <c r="V111" s="526">
        <f t="shared" si="32"/>
        <v>1639.3868860141156</v>
      </c>
      <c r="W111" s="526">
        <f t="shared" si="26"/>
        <v>470.8567952333056</v>
      </c>
      <c r="X111" s="556">
        <f t="shared" si="33"/>
        <v>2742.7029125012923</v>
      </c>
      <c r="Y111" s="74"/>
      <c r="Z111" s="420"/>
      <c r="AA111" s="420"/>
      <c r="AB111" s="420"/>
      <c r="AC111" s="420"/>
      <c r="AD111" s="74"/>
    </row>
    <row r="112" spans="1:30" ht="22.5" customHeight="1" thickBot="1">
      <c r="A112" s="444" t="s">
        <v>225</v>
      </c>
      <c r="B112" s="95" t="s">
        <v>224</v>
      </c>
      <c r="C112" s="367">
        <v>4</v>
      </c>
      <c r="D112" s="200">
        <f>TRUNC(E87*C112,-1)</f>
        <v>3340</v>
      </c>
      <c r="F112" s="77"/>
      <c r="I112" s="77"/>
      <c r="J112" s="77"/>
      <c r="L112" s="77"/>
      <c r="O112" s="420"/>
      <c r="P112" s="526">
        <f>IF(G87&gt;E87*C112,E87*C112,G87)</f>
        <v>1321.6848591302021</v>
      </c>
      <c r="Q112" s="556">
        <f>R112*P112*PI()/30000</f>
        <v>543.74953730905247</v>
      </c>
      <c r="R112" s="556">
        <f>R106*P106/P112</f>
        <v>3928.6412068131917</v>
      </c>
      <c r="S112" s="526">
        <f>M87</f>
        <v>838.77026246831065</v>
      </c>
      <c r="T112" s="556">
        <f>U112*S112*PI()/30000</f>
        <v>810.20169808521382</v>
      </c>
      <c r="U112" s="556">
        <f>U106*S106/S112</f>
        <v>9224.046983180755</v>
      </c>
      <c r="V112" s="526">
        <f t="shared" si="32"/>
        <v>1803.3255746155273</v>
      </c>
      <c r="W112" s="526">
        <f t="shared" si="26"/>
        <v>433.09927576473171</v>
      </c>
      <c r="X112" s="556">
        <f t="shared" si="33"/>
        <v>2293.4258203099998</v>
      </c>
      <c r="Y112" s="74"/>
      <c r="Z112" s="420"/>
      <c r="AA112" s="420"/>
      <c r="AB112" s="420"/>
      <c r="AC112" s="420"/>
      <c r="AD112" s="74"/>
    </row>
    <row r="113" spans="1:30" ht="15" customHeight="1">
      <c r="A113" s="679" t="s">
        <v>108</v>
      </c>
      <c r="B113" s="680"/>
      <c r="C113" s="681"/>
      <c r="D113" s="77"/>
      <c r="F113" s="77"/>
      <c r="I113" s="77"/>
      <c r="J113" s="77"/>
      <c r="L113" s="77"/>
      <c r="O113" s="420"/>
      <c r="P113" s="526">
        <f>P112</f>
        <v>1321.6848591302021</v>
      </c>
      <c r="Q113" s="556">
        <f>R113*P113*PI()/30000</f>
        <v>543.74953730905247</v>
      </c>
      <c r="R113" s="556">
        <f>R112*(P112/P113)^2</f>
        <v>3928.6412068131917</v>
      </c>
      <c r="S113" s="526">
        <f>S112</f>
        <v>838.77026246831065</v>
      </c>
      <c r="T113" s="556">
        <f>U113*S113*PI()/30000</f>
        <v>810.20169808521382</v>
      </c>
      <c r="U113" s="556">
        <f>U112</f>
        <v>9224.046983180755</v>
      </c>
      <c r="V113" s="526">
        <f t="shared" si="32"/>
        <v>1983.6581320770802</v>
      </c>
      <c r="W113" s="526">
        <f t="shared" si="26"/>
        <v>398.36949273503268</v>
      </c>
      <c r="X113" s="556">
        <f t="shared" si="33"/>
        <v>1917.7439777710954</v>
      </c>
      <c r="Y113" s="74"/>
      <c r="Z113" s="420"/>
      <c r="AA113" s="420"/>
      <c r="AB113" s="420"/>
      <c r="AC113" s="420"/>
      <c r="AD113" s="74"/>
    </row>
    <row r="114" spans="1:30" ht="15" customHeight="1" thickBot="1">
      <c r="A114" s="679"/>
      <c r="B114" s="680"/>
      <c r="C114" s="681"/>
      <c r="D114" s="77"/>
      <c r="F114" s="77"/>
      <c r="I114" s="77"/>
      <c r="J114" s="77"/>
      <c r="L114" s="77"/>
      <c r="O114" s="420"/>
      <c r="P114" s="526">
        <f t="shared" ref="P114:P131" si="35">IF(P113*1.1&gt;MIN($L$13,$D$112),MIN($L$13,$D$112),P113*1.1)</f>
        <v>1453.8533450432224</v>
      </c>
      <c r="Q114" s="556">
        <f>R114*P114*PI()/30000</f>
        <v>500.1468242361704</v>
      </c>
      <c r="R114" s="556">
        <f t="shared" ref="R114:R130" si="36">R113*(P113/P114)^(1+$AD$87)</f>
        <v>3285.0977557107067</v>
      </c>
      <c r="S114" s="526">
        <f t="shared" ref="S114:S131" si="37">IF(S113*1.1&gt;MIN($L$13,$D$112),MIN($L$13,$D$112),S113*1.1)</f>
        <v>922.64728871514183</v>
      </c>
      <c r="T114" s="556">
        <f t="shared" ref="T114:T131" si="38">U114*S114*PI()/30000</f>
        <v>745.2324617938134</v>
      </c>
      <c r="U114" s="556">
        <f t="shared" ref="U114:U130" si="39">U113*(S113/S114)^(1+$AD$87)</f>
        <v>7713.0729043076162</v>
      </c>
      <c r="V114" s="526">
        <f t="shared" si="32"/>
        <v>2182.0239452847882</v>
      </c>
      <c r="W114" s="526">
        <f t="shared" si="26"/>
        <v>366.4246550903386</v>
      </c>
      <c r="X114" s="556">
        <f t="shared" si="33"/>
        <v>1603.6018831340214</v>
      </c>
      <c r="Y114" s="74"/>
      <c r="Z114" s="420"/>
      <c r="AA114" s="420"/>
      <c r="AB114" s="420"/>
      <c r="AC114" s="420"/>
      <c r="AD114" s="74"/>
    </row>
    <row r="115" spans="1:30" ht="15" customHeight="1" thickBot="1">
      <c r="A115" s="368" t="s">
        <v>82</v>
      </c>
      <c r="B115" s="368" t="s">
        <v>118</v>
      </c>
      <c r="C115" s="368" t="s">
        <v>119</v>
      </c>
      <c r="D115" s="77"/>
      <c r="F115" s="77"/>
      <c r="I115" s="77"/>
      <c r="J115" s="77"/>
      <c r="L115" s="77"/>
      <c r="O115" s="420"/>
      <c r="P115" s="526">
        <f t="shared" si="35"/>
        <v>1599.2386795475447</v>
      </c>
      <c r="Q115" s="556">
        <f t="shared" ref="Q115:Q131" si="40">R115*P115*PI()/30000</f>
        <v>460.04056763242835</v>
      </c>
      <c r="R115" s="556">
        <f t="shared" si="36"/>
        <v>2746.9719672694659</v>
      </c>
      <c r="S115" s="526">
        <f t="shared" si="37"/>
        <v>1014.9120175866561</v>
      </c>
      <c r="T115" s="556">
        <f t="shared" si="38"/>
        <v>685.47304137204583</v>
      </c>
      <c r="U115" s="556">
        <f t="shared" si="39"/>
        <v>6449.608695146705</v>
      </c>
      <c r="V115" s="526">
        <f t="shared" si="32"/>
        <v>2400.2263398132673</v>
      </c>
      <c r="W115" s="526">
        <f t="shared" si="26"/>
        <v>337.04144094030448</v>
      </c>
      <c r="X115" s="556">
        <f t="shared" si="33"/>
        <v>1340.9188240965088</v>
      </c>
      <c r="Y115" s="74"/>
      <c r="Z115" s="420"/>
      <c r="AA115" s="420"/>
      <c r="AB115" s="420"/>
      <c r="AC115" s="420"/>
      <c r="AD115" s="74"/>
    </row>
    <row r="116" spans="1:30" ht="15" customHeight="1">
      <c r="A116" s="369"/>
      <c r="B116" s="378"/>
      <c r="C116" s="379"/>
      <c r="D116" s="77"/>
      <c r="F116" s="77"/>
      <c r="I116" s="77"/>
      <c r="J116" s="77"/>
      <c r="L116" s="77"/>
      <c r="O116" s="420"/>
      <c r="P116" s="526">
        <f t="shared" si="35"/>
        <v>1759.1625475022993</v>
      </c>
      <c r="Q116" s="556">
        <f t="shared" si="40"/>
        <v>423.15039026946062</v>
      </c>
      <c r="R116" s="556">
        <f t="shared" si="36"/>
        <v>2296.9955691110899</v>
      </c>
      <c r="S116" s="526">
        <f t="shared" si="37"/>
        <v>1116.4032193453218</v>
      </c>
      <c r="T116" s="556">
        <f t="shared" si="38"/>
        <v>630.50566707310782</v>
      </c>
      <c r="U116" s="556">
        <f t="shared" si="39"/>
        <v>5393.1102216446761</v>
      </c>
      <c r="V116" s="526">
        <f t="shared" si="32"/>
        <v>2640.2489737945943</v>
      </c>
      <c r="W116" s="526">
        <f t="shared" si="26"/>
        <v>310.0144363460218</v>
      </c>
      <c r="X116" s="556">
        <f t="shared" si="33"/>
        <v>1121.2653911969064</v>
      </c>
      <c r="Y116" s="74"/>
      <c r="Z116" s="420"/>
      <c r="AA116" s="420"/>
      <c r="AB116" s="420"/>
      <c r="AC116" s="420"/>
      <c r="AD116" s="74"/>
    </row>
    <row r="117" spans="1:30" ht="15" customHeight="1">
      <c r="A117" s="372"/>
      <c r="B117" s="380"/>
      <c r="C117" s="381"/>
      <c r="D117" s="77"/>
      <c r="F117" s="77"/>
      <c r="I117" s="77"/>
      <c r="J117" s="77"/>
      <c r="L117" s="77"/>
      <c r="O117" s="420"/>
      <c r="P117" s="526">
        <f t="shared" si="35"/>
        <v>1935.0788022525294</v>
      </c>
      <c r="Q117" s="556">
        <f t="shared" si="40"/>
        <v>389.21839807888966</v>
      </c>
      <c r="R117" s="556">
        <f t="shared" si="36"/>
        <v>1920.7289726223876</v>
      </c>
      <c r="S117" s="526">
        <f t="shared" si="37"/>
        <v>1228.043541279854</v>
      </c>
      <c r="T117" s="556">
        <f t="shared" si="38"/>
        <v>579.94606967415075</v>
      </c>
      <c r="U117" s="556">
        <f t="shared" si="39"/>
        <v>4509.6748093717788</v>
      </c>
      <c r="V117" s="526">
        <f t="shared" si="32"/>
        <v>2904.273871174054</v>
      </c>
      <c r="W117" s="526">
        <f t="shared" si="26"/>
        <v>285.15469929991218</v>
      </c>
      <c r="X117" s="556">
        <f t="shared" si="33"/>
        <v>937.59298094950589</v>
      </c>
      <c r="Y117" s="74"/>
      <c r="Z117" s="420"/>
      <c r="AA117" s="420"/>
      <c r="AB117" s="420"/>
      <c r="AC117" s="420"/>
      <c r="AD117" s="74"/>
    </row>
    <row r="118" spans="1:30" ht="15" customHeight="1">
      <c r="A118" s="372"/>
      <c r="B118" s="380"/>
      <c r="C118" s="381"/>
      <c r="D118" s="77"/>
      <c r="F118" s="77"/>
      <c r="I118" s="77"/>
      <c r="J118" s="77"/>
      <c r="L118" s="77"/>
      <c r="O118" s="420"/>
      <c r="P118" s="526">
        <f t="shared" si="35"/>
        <v>2128.5866824777827</v>
      </c>
      <c r="Q118" s="556">
        <f t="shared" si="40"/>
        <v>358.00737725097713</v>
      </c>
      <c r="R118" s="556">
        <f t="shared" si="36"/>
        <v>1606.0979114986835</v>
      </c>
      <c r="S118" s="526">
        <f t="shared" si="37"/>
        <v>1350.8478954078396</v>
      </c>
      <c r="T118" s="556">
        <f t="shared" si="38"/>
        <v>533.44079410391123</v>
      </c>
      <c r="U118" s="556">
        <f t="shared" si="39"/>
        <v>3770.9533183025487</v>
      </c>
      <c r="V118" s="526">
        <f t="shared" si="32"/>
        <v>3194.7012582914595</v>
      </c>
      <c r="W118" s="526">
        <f t="shared" si="26"/>
        <v>262.28843885858845</v>
      </c>
      <c r="X118" s="556">
        <f t="shared" si="33"/>
        <v>784.0076085710599</v>
      </c>
      <c r="Y118" s="74"/>
      <c r="Z118" s="420"/>
      <c r="AA118" s="420"/>
      <c r="AB118" s="420"/>
      <c r="AC118" s="420"/>
      <c r="AD118" s="74"/>
    </row>
    <row r="119" spans="1:30" ht="15" customHeight="1">
      <c r="A119" s="372"/>
      <c r="B119" s="380"/>
      <c r="C119" s="381"/>
      <c r="D119" s="77"/>
      <c r="F119" s="77"/>
      <c r="I119" s="77"/>
      <c r="J119" s="77"/>
      <c r="L119" s="77"/>
      <c r="O119" s="420"/>
      <c r="P119" s="526">
        <f t="shared" si="35"/>
        <v>2341.4453507255612</v>
      </c>
      <c r="Q119" s="556">
        <f t="shared" si="40"/>
        <v>329.29913590607077</v>
      </c>
      <c r="R119" s="556">
        <f t="shared" si="36"/>
        <v>1343.0059826705019</v>
      </c>
      <c r="S119" s="526">
        <f t="shared" si="37"/>
        <v>1485.9326849486238</v>
      </c>
      <c r="T119" s="556">
        <f t="shared" si="38"/>
        <v>490.66472848776118</v>
      </c>
      <c r="U119" s="556">
        <f t="shared" si="39"/>
        <v>3153.2404286148376</v>
      </c>
      <c r="V119" s="526">
        <f t="shared" si="32"/>
        <v>3340</v>
      </c>
      <c r="W119" s="526">
        <f t="shared" si="26"/>
        <v>252.25444546068994</v>
      </c>
      <c r="X119" s="556">
        <f t="shared" si="33"/>
        <v>721.21332776000713</v>
      </c>
      <c r="Y119" s="74"/>
      <c r="Z119" s="420"/>
      <c r="AA119" s="420"/>
      <c r="AB119" s="420"/>
      <c r="AC119" s="420"/>
      <c r="AD119" s="74"/>
    </row>
    <row r="120" spans="1:30" ht="15" customHeight="1">
      <c r="A120" s="372"/>
      <c r="B120" s="380"/>
      <c r="C120" s="381"/>
      <c r="D120" s="77"/>
      <c r="F120" s="77"/>
      <c r="I120" s="77"/>
      <c r="J120" s="77"/>
      <c r="L120" s="77"/>
      <c r="O120" s="420"/>
      <c r="P120" s="526">
        <f t="shared" si="35"/>
        <v>2575.5898857981174</v>
      </c>
      <c r="Q120" s="556">
        <f t="shared" si="40"/>
        <v>302.89297874570246</v>
      </c>
      <c r="R120" s="556">
        <f t="shared" si="36"/>
        <v>1123.0106561845432</v>
      </c>
      <c r="S120" s="526">
        <f t="shared" si="37"/>
        <v>1634.5259534434863</v>
      </c>
      <c r="T120" s="556">
        <f t="shared" si="38"/>
        <v>451.31883133608142</v>
      </c>
      <c r="U120" s="556">
        <f t="shared" si="39"/>
        <v>2636.7139450898267</v>
      </c>
      <c r="V120" s="526">
        <f t="shared" si="32"/>
        <v>3340</v>
      </c>
      <c r="W120" s="526">
        <f t="shared" si="26"/>
        <v>252.25444546068994</v>
      </c>
      <c r="X120" s="556">
        <f t="shared" si="33"/>
        <v>721.21332776000713</v>
      </c>
      <c r="Y120" s="74"/>
      <c r="Z120" s="420"/>
      <c r="AA120" s="420"/>
      <c r="AB120" s="420"/>
      <c r="AC120" s="420"/>
      <c r="AD120" s="74"/>
    </row>
    <row r="121" spans="1:30" ht="15" customHeight="1">
      <c r="A121" s="372"/>
      <c r="B121" s="380"/>
      <c r="C121" s="381"/>
      <c r="D121" s="77"/>
      <c r="F121" s="77"/>
      <c r="I121" s="77"/>
      <c r="J121" s="77"/>
      <c r="L121" s="77"/>
      <c r="O121" s="420"/>
      <c r="P121" s="526">
        <f t="shared" si="35"/>
        <v>2833.1488743779296</v>
      </c>
      <c r="Q121" s="556">
        <f t="shared" si="40"/>
        <v>278.60430401983695</v>
      </c>
      <c r="R121" s="556">
        <f t="shared" si="36"/>
        <v>939.05235730692482</v>
      </c>
      <c r="S121" s="526">
        <f t="shared" si="37"/>
        <v>1797.9785487878351</v>
      </c>
      <c r="T121" s="556">
        <f t="shared" si="38"/>
        <v>415.12804098704845</v>
      </c>
      <c r="U121" s="556">
        <f t="shared" si="39"/>
        <v>2204.7987096515703</v>
      </c>
      <c r="V121" s="526">
        <f t="shared" si="32"/>
        <v>3340</v>
      </c>
      <c r="W121" s="526">
        <f t="shared" si="26"/>
        <v>252.25444546068994</v>
      </c>
      <c r="X121" s="556">
        <f t="shared" si="33"/>
        <v>721.21332776000713</v>
      </c>
      <c r="Y121" s="74"/>
      <c r="Z121" s="420"/>
      <c r="AA121" s="420"/>
      <c r="AB121" s="420"/>
      <c r="AC121" s="420"/>
      <c r="AD121" s="74"/>
    </row>
    <row r="122" spans="1:30" ht="15" customHeight="1">
      <c r="A122" s="372"/>
      <c r="B122" s="380"/>
      <c r="C122" s="381"/>
      <c r="D122" s="77"/>
      <c r="F122" s="77"/>
      <c r="I122" s="77"/>
      <c r="J122" s="77"/>
      <c r="L122" s="77"/>
      <c r="O122" s="420"/>
      <c r="P122" s="526">
        <f t="shared" si="35"/>
        <v>3116.4637618157226</v>
      </c>
      <c r="Q122" s="556">
        <f t="shared" si="40"/>
        <v>256.26331300186678</v>
      </c>
      <c r="R122" s="556">
        <f t="shared" si="36"/>
        <v>785.22792718610162</v>
      </c>
      <c r="S122" s="526">
        <f t="shared" si="37"/>
        <v>1977.7764036666188</v>
      </c>
      <c r="T122" s="556">
        <f t="shared" si="38"/>
        <v>381.83935268904264</v>
      </c>
      <c r="U122" s="556">
        <f t="shared" si="39"/>
        <v>1843.6347102171603</v>
      </c>
      <c r="V122" s="526">
        <f t="shared" si="32"/>
        <v>3340</v>
      </c>
      <c r="W122" s="526">
        <f t="shared" si="26"/>
        <v>252.25444546068994</v>
      </c>
      <c r="X122" s="556">
        <f t="shared" si="33"/>
        <v>721.21332776000713</v>
      </c>
      <c r="Y122" s="74"/>
      <c r="Z122" s="420"/>
      <c r="AA122" s="420"/>
      <c r="AB122" s="420"/>
      <c r="AC122" s="420"/>
      <c r="AD122" s="74"/>
    </row>
    <row r="123" spans="1:30" ht="15" customHeight="1">
      <c r="A123" s="372"/>
      <c r="B123" s="380"/>
      <c r="C123" s="381"/>
      <c r="D123" s="77"/>
      <c r="F123" s="77"/>
      <c r="I123" s="77"/>
      <c r="J123" s="77"/>
      <c r="L123" s="77"/>
      <c r="O123" s="420"/>
      <c r="P123" s="526">
        <f t="shared" si="35"/>
        <v>3340</v>
      </c>
      <c r="Q123" s="556">
        <f t="shared" si="40"/>
        <v>241.15842028972924</v>
      </c>
      <c r="R123" s="556">
        <f t="shared" si="36"/>
        <v>689.48900582053716</v>
      </c>
      <c r="S123" s="526">
        <f t="shared" si="37"/>
        <v>2175.5540440332807</v>
      </c>
      <c r="T123" s="556">
        <f t="shared" si="38"/>
        <v>351.22004987982967</v>
      </c>
      <c r="U123" s="556">
        <f t="shared" si="39"/>
        <v>1541.6323176525552</v>
      </c>
      <c r="V123" s="526">
        <f t="shared" si="32"/>
        <v>3340</v>
      </c>
      <c r="W123" s="526">
        <f t="shared" si="26"/>
        <v>252.25444546068994</v>
      </c>
      <c r="X123" s="556">
        <f t="shared" si="33"/>
        <v>721.21332776000713</v>
      </c>
      <c r="Y123" s="74"/>
      <c r="Z123" s="420"/>
      <c r="AA123" s="420"/>
      <c r="AB123" s="420"/>
      <c r="AC123" s="420"/>
      <c r="AD123" s="74"/>
    </row>
    <row r="124" spans="1:30" ht="15" customHeight="1">
      <c r="A124" s="372"/>
      <c r="B124" s="380"/>
      <c r="C124" s="381"/>
      <c r="D124" s="77"/>
      <c r="F124" s="77"/>
      <c r="I124" s="77"/>
      <c r="J124" s="77"/>
      <c r="L124" s="77"/>
      <c r="O124" s="420"/>
      <c r="P124" s="526">
        <f t="shared" si="35"/>
        <v>3340</v>
      </c>
      <c r="Q124" s="556">
        <f t="shared" si="40"/>
        <v>241.15842028972924</v>
      </c>
      <c r="R124" s="556">
        <f t="shared" si="36"/>
        <v>689.48900582053716</v>
      </c>
      <c r="S124" s="526">
        <f t="shared" si="37"/>
        <v>2393.109448436609</v>
      </c>
      <c r="T124" s="556">
        <f t="shared" si="38"/>
        <v>323.0560772976342</v>
      </c>
      <c r="U124" s="556">
        <f t="shared" si="39"/>
        <v>1289.1003785401972</v>
      </c>
      <c r="V124" s="526">
        <f t="shared" si="32"/>
        <v>3340</v>
      </c>
      <c r="W124" s="526">
        <f t="shared" si="26"/>
        <v>252.25444546068994</v>
      </c>
      <c r="X124" s="556">
        <f t="shared" si="33"/>
        <v>721.21332776000713</v>
      </c>
      <c r="Y124" s="74"/>
      <c r="Z124" s="420"/>
      <c r="AA124" s="420"/>
      <c r="AB124" s="420"/>
      <c r="AC124" s="420"/>
      <c r="AD124" s="74"/>
    </row>
    <row r="125" spans="1:30" ht="15" customHeight="1">
      <c r="A125" s="372"/>
      <c r="B125" s="380"/>
      <c r="C125" s="381"/>
      <c r="D125" s="77"/>
      <c r="F125" s="77"/>
      <c r="I125" s="77"/>
      <c r="J125" s="77"/>
      <c r="L125" s="77"/>
      <c r="O125" s="420"/>
      <c r="P125" s="526">
        <f t="shared" si="35"/>
        <v>3340</v>
      </c>
      <c r="Q125" s="556">
        <f t="shared" si="40"/>
        <v>241.15842028972924</v>
      </c>
      <c r="R125" s="556">
        <f t="shared" si="36"/>
        <v>689.48900582053716</v>
      </c>
      <c r="S125" s="526">
        <f t="shared" si="37"/>
        <v>2632.4203932802702</v>
      </c>
      <c r="T125" s="556">
        <f t="shared" si="38"/>
        <v>297.15054455075591</v>
      </c>
      <c r="U125" s="556">
        <f t="shared" si="39"/>
        <v>1077.9352293826282</v>
      </c>
      <c r="V125" s="526">
        <f t="shared" si="32"/>
        <v>3340</v>
      </c>
      <c r="W125" s="526">
        <f t="shared" si="26"/>
        <v>252.25444546068994</v>
      </c>
      <c r="X125" s="556">
        <f t="shared" si="33"/>
        <v>721.21332776000713</v>
      </c>
      <c r="Y125" s="74"/>
      <c r="Z125" s="420"/>
      <c r="AA125" s="420"/>
      <c r="AB125" s="420"/>
      <c r="AC125" s="420"/>
      <c r="AD125" s="74"/>
    </row>
    <row r="126" spans="1:30" ht="15" customHeight="1">
      <c r="A126" s="372"/>
      <c r="B126" s="380"/>
      <c r="C126" s="381"/>
      <c r="D126" s="77"/>
      <c r="F126" s="77"/>
      <c r="I126" s="77"/>
      <c r="J126" s="77"/>
      <c r="L126" s="77"/>
      <c r="O126" s="420"/>
      <c r="P126" s="526">
        <f t="shared" si="35"/>
        <v>3340</v>
      </c>
      <c r="Q126" s="556">
        <f t="shared" si="40"/>
        <v>241.15842028972924</v>
      </c>
      <c r="R126" s="556">
        <f t="shared" si="36"/>
        <v>689.48900582053716</v>
      </c>
      <c r="S126" s="526">
        <f t="shared" si="37"/>
        <v>2895.6624326082974</v>
      </c>
      <c r="T126" s="556">
        <f t="shared" si="38"/>
        <v>273.32234968438843</v>
      </c>
      <c r="U126" s="556">
        <f t="shared" si="39"/>
        <v>901.36065281432025</v>
      </c>
      <c r="V126" s="526">
        <f t="shared" si="32"/>
        <v>3340</v>
      </c>
      <c r="W126" s="526">
        <f t="shared" si="26"/>
        <v>252.25444546068994</v>
      </c>
      <c r="X126" s="556">
        <f t="shared" si="33"/>
        <v>721.21332776000713</v>
      </c>
      <c r="Y126" s="74"/>
      <c r="Z126" s="420"/>
      <c r="AA126" s="420"/>
      <c r="AB126" s="420"/>
      <c r="AC126" s="420"/>
      <c r="AD126" s="74"/>
    </row>
    <row r="127" spans="1:30" ht="15" customHeight="1">
      <c r="A127" s="372"/>
      <c r="B127" s="380"/>
      <c r="C127" s="381"/>
      <c r="D127" s="77"/>
      <c r="F127" s="77"/>
      <c r="I127" s="77"/>
      <c r="J127" s="77"/>
      <c r="L127" s="77"/>
      <c r="O127" s="420"/>
      <c r="P127" s="526">
        <f t="shared" si="35"/>
        <v>3340</v>
      </c>
      <c r="Q127" s="556">
        <f t="shared" si="40"/>
        <v>241.15842028972924</v>
      </c>
      <c r="R127" s="556">
        <f t="shared" si="36"/>
        <v>689.48900582053716</v>
      </c>
      <c r="S127" s="526">
        <f t="shared" si="37"/>
        <v>3185.2286758691275</v>
      </c>
      <c r="T127" s="556">
        <f t="shared" si="38"/>
        <v>251.40491312219288</v>
      </c>
      <c r="U127" s="556">
        <f t="shared" si="39"/>
        <v>753.71043110556559</v>
      </c>
      <c r="V127" s="526">
        <f t="shared" si="32"/>
        <v>3340</v>
      </c>
      <c r="W127" s="526">
        <f t="shared" si="26"/>
        <v>252.25444546068994</v>
      </c>
      <c r="X127" s="556">
        <f t="shared" si="33"/>
        <v>721.21332776000713</v>
      </c>
      <c r="Y127" s="74"/>
      <c r="Z127" s="420"/>
      <c r="AA127" s="420"/>
      <c r="AB127" s="420"/>
      <c r="AC127" s="420"/>
      <c r="AD127" s="74"/>
    </row>
    <row r="128" spans="1:30" ht="15" customHeight="1">
      <c r="A128" s="372"/>
      <c r="B128" s="380"/>
      <c r="C128" s="381"/>
      <c r="D128" s="77"/>
      <c r="F128" s="77"/>
      <c r="I128" s="77"/>
      <c r="J128" s="77"/>
      <c r="L128" s="77"/>
      <c r="O128" s="420"/>
      <c r="P128" s="526">
        <f t="shared" si="35"/>
        <v>3340</v>
      </c>
      <c r="Q128" s="556">
        <f t="shared" si="40"/>
        <v>241.15842028972924</v>
      </c>
      <c r="R128" s="556">
        <f t="shared" si="36"/>
        <v>689.48900582053716</v>
      </c>
      <c r="S128" s="526">
        <f t="shared" si="37"/>
        <v>3340</v>
      </c>
      <c r="T128" s="556">
        <f t="shared" si="38"/>
        <v>241.15842028972909</v>
      </c>
      <c r="U128" s="556">
        <f t="shared" si="39"/>
        <v>689.48900582053682</v>
      </c>
      <c r="V128" s="526">
        <f t="shared" si="32"/>
        <v>3340</v>
      </c>
      <c r="W128" s="526">
        <f t="shared" si="26"/>
        <v>252.25444546068994</v>
      </c>
      <c r="X128" s="556">
        <f t="shared" si="33"/>
        <v>721.21332776000713</v>
      </c>
      <c r="Y128" s="74"/>
      <c r="Z128" s="420"/>
      <c r="AA128" s="420"/>
      <c r="AB128" s="420"/>
      <c r="AC128" s="420"/>
      <c r="AD128" s="74"/>
    </row>
    <row r="129" spans="1:57" ht="15" customHeight="1">
      <c r="A129" s="372"/>
      <c r="B129" s="380"/>
      <c r="C129" s="381"/>
      <c r="D129" s="77"/>
      <c r="F129" s="77"/>
      <c r="I129" s="77"/>
      <c r="J129" s="77"/>
      <c r="L129" s="77"/>
      <c r="O129" s="420"/>
      <c r="P129" s="526">
        <f t="shared" si="35"/>
        <v>3340</v>
      </c>
      <c r="Q129" s="556">
        <f t="shared" si="40"/>
        <v>241.15842028972924</v>
      </c>
      <c r="R129" s="556">
        <f t="shared" si="36"/>
        <v>689.48900582053716</v>
      </c>
      <c r="S129" s="526">
        <f t="shared" si="37"/>
        <v>3340</v>
      </c>
      <c r="T129" s="556">
        <f t="shared" si="38"/>
        <v>241.15842028972909</v>
      </c>
      <c r="U129" s="556">
        <f t="shared" si="39"/>
        <v>689.48900582053682</v>
      </c>
      <c r="V129" s="526">
        <f t="shared" si="32"/>
        <v>3340</v>
      </c>
      <c r="W129" s="526">
        <f t="shared" si="26"/>
        <v>252.25444546068994</v>
      </c>
      <c r="X129" s="556">
        <f t="shared" si="33"/>
        <v>721.21332776000713</v>
      </c>
      <c r="Y129" s="74"/>
      <c r="Z129" s="420"/>
      <c r="AA129" s="420"/>
      <c r="AB129" s="420"/>
      <c r="AC129" s="420"/>
      <c r="AD129" s="74"/>
    </row>
    <row r="130" spans="1:57" ht="15" customHeight="1">
      <c r="A130" s="372"/>
      <c r="B130" s="380"/>
      <c r="C130" s="381"/>
      <c r="D130" s="77"/>
      <c r="F130" s="77"/>
      <c r="I130" s="77"/>
      <c r="J130" s="77"/>
      <c r="L130" s="77"/>
      <c r="O130" s="420"/>
      <c r="P130" s="526">
        <f t="shared" si="35"/>
        <v>3340</v>
      </c>
      <c r="Q130" s="556">
        <f t="shared" si="40"/>
        <v>241.15842028972924</v>
      </c>
      <c r="R130" s="556">
        <f t="shared" si="36"/>
        <v>689.48900582053716</v>
      </c>
      <c r="S130" s="526">
        <f t="shared" si="37"/>
        <v>3340</v>
      </c>
      <c r="T130" s="556">
        <f t="shared" si="38"/>
        <v>241.15842028972909</v>
      </c>
      <c r="U130" s="556">
        <f t="shared" si="39"/>
        <v>689.48900582053682</v>
      </c>
      <c r="V130" s="526">
        <f t="shared" si="32"/>
        <v>3340</v>
      </c>
      <c r="W130" s="526">
        <f t="shared" si="26"/>
        <v>252.25444546068994</v>
      </c>
      <c r="X130" s="556">
        <f t="shared" si="33"/>
        <v>721.21332776000713</v>
      </c>
      <c r="Y130" s="74"/>
      <c r="Z130" s="420"/>
      <c r="AA130" s="420"/>
      <c r="AB130" s="420"/>
      <c r="AC130" s="420"/>
      <c r="AD130" s="74"/>
    </row>
    <row r="131" spans="1:57" ht="15" customHeight="1">
      <c r="A131" s="372"/>
      <c r="B131" s="380"/>
      <c r="C131" s="381"/>
      <c r="D131" s="77"/>
      <c r="F131" s="77"/>
      <c r="I131" s="77"/>
      <c r="J131" s="77"/>
      <c r="L131" s="77"/>
      <c r="O131" s="420"/>
      <c r="P131" s="526">
        <f t="shared" si="35"/>
        <v>3340</v>
      </c>
      <c r="Q131" s="556">
        <f t="shared" si="40"/>
        <v>241.15842028972924</v>
      </c>
      <c r="R131" s="556">
        <f>R130*(P130/P131)^(1+$AD$87)</f>
        <v>689.48900582053716</v>
      </c>
      <c r="S131" s="526">
        <f t="shared" si="37"/>
        <v>3340</v>
      </c>
      <c r="T131" s="556">
        <f t="shared" si="38"/>
        <v>241.15842028972909</v>
      </c>
      <c r="U131" s="556">
        <f>U130*(S130/S131)^(1+$AD$87)</f>
        <v>689.48900582053682</v>
      </c>
      <c r="V131" s="526">
        <f t="shared" si="32"/>
        <v>3340</v>
      </c>
      <c r="W131" s="526">
        <f t="shared" si="26"/>
        <v>252.25444546068994</v>
      </c>
      <c r="X131" s="556">
        <f>X130*(V130/V131)^(1+$AD$87)</f>
        <v>721.21332776000713</v>
      </c>
      <c r="Y131" s="74"/>
      <c r="Z131" s="420"/>
      <c r="AA131" s="420"/>
      <c r="AB131" s="420"/>
      <c r="AC131" s="420"/>
      <c r="AD131" s="74"/>
    </row>
    <row r="132" spans="1:57" ht="15" customHeight="1">
      <c r="A132" s="372"/>
      <c r="B132" s="380"/>
      <c r="C132" s="381"/>
      <c r="D132" s="77"/>
      <c r="F132" s="77"/>
      <c r="I132" s="77"/>
      <c r="J132" s="77"/>
      <c r="L132" s="77"/>
      <c r="O132" s="420"/>
      <c r="P132" s="526"/>
      <c r="Q132" s="556"/>
      <c r="R132" s="556"/>
      <c r="S132" s="556"/>
      <c r="T132" s="556"/>
      <c r="U132" s="526"/>
      <c r="V132" s="526"/>
      <c r="W132" s="74"/>
      <c r="X132" s="74"/>
      <c r="Y132" s="74"/>
      <c r="Z132" s="420"/>
      <c r="AA132" s="420"/>
      <c r="AB132" s="420"/>
      <c r="AC132" s="420"/>
      <c r="AD132" s="74"/>
    </row>
    <row r="133" spans="1:57" ht="15" customHeight="1">
      <c r="A133" s="372"/>
      <c r="B133" s="380"/>
      <c r="C133" s="381"/>
      <c r="D133" s="77"/>
      <c r="F133" s="77"/>
      <c r="I133" s="77"/>
      <c r="J133" s="77"/>
      <c r="L133" s="77"/>
      <c r="O133" s="420"/>
      <c r="P133" s="526"/>
      <c r="Q133" s="556"/>
      <c r="R133" s="556"/>
      <c r="S133" s="556"/>
      <c r="T133" s="556"/>
      <c r="U133" s="526"/>
      <c r="V133" s="526"/>
      <c r="W133" s="74"/>
      <c r="X133" s="74"/>
      <c r="Y133" s="74"/>
      <c r="Z133" s="420"/>
      <c r="AA133" s="420"/>
      <c r="AB133" s="420"/>
      <c r="AC133" s="420"/>
      <c r="AD133" s="74"/>
    </row>
    <row r="134" spans="1:57" ht="15" customHeight="1">
      <c r="A134" s="372"/>
      <c r="B134" s="380"/>
      <c r="C134" s="381"/>
      <c r="D134" s="77"/>
      <c r="F134" s="77"/>
      <c r="I134" s="77"/>
      <c r="J134" s="77"/>
      <c r="L134" s="77"/>
      <c r="O134" s="420"/>
      <c r="P134" s="564"/>
      <c r="Q134" s="565"/>
      <c r="R134" s="565"/>
      <c r="S134" s="565"/>
      <c r="T134" s="565"/>
      <c r="U134" s="564"/>
      <c r="V134" s="564"/>
      <c r="W134" s="420"/>
      <c r="X134" s="420"/>
      <c r="Y134" s="420"/>
      <c r="Z134" s="420"/>
      <c r="AA134" s="420"/>
      <c r="AB134" s="420"/>
      <c r="AC134" s="420"/>
      <c r="AD134" s="74"/>
    </row>
    <row r="135" spans="1:57" ht="15" customHeight="1" thickBot="1">
      <c r="A135" s="375"/>
      <c r="B135" s="382"/>
      <c r="C135" s="383"/>
      <c r="D135" s="77"/>
      <c r="F135" s="77"/>
      <c r="I135" s="77"/>
      <c r="J135" s="77"/>
      <c r="L135" s="77"/>
      <c r="O135" s="420"/>
      <c r="P135" s="564"/>
      <c r="Q135" s="565"/>
      <c r="R135" s="565"/>
      <c r="S135" s="565"/>
      <c r="T135" s="565"/>
      <c r="U135" s="564"/>
      <c r="V135" s="564"/>
      <c r="W135" s="420"/>
      <c r="X135" s="420"/>
      <c r="Y135" s="420"/>
      <c r="Z135" s="420"/>
      <c r="AA135" s="420"/>
      <c r="AB135" s="420"/>
      <c r="AC135" s="420"/>
      <c r="AD135" s="74"/>
    </row>
    <row r="136" spans="1:57" ht="15" customHeight="1">
      <c r="A136" s="198">
        <f>MAX(A112,IF(A116="",0,MAX(A116:A135)))</f>
        <v>0</v>
      </c>
      <c r="B136" s="199"/>
      <c r="C136" s="199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0"/>
      <c r="AC136" s="420"/>
      <c r="AD136" s="74"/>
    </row>
    <row r="137" spans="1:57" ht="15" customHeight="1" thickBot="1"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</row>
    <row r="138" spans="1:57" ht="20.100000000000001" customHeight="1">
      <c r="A138" s="66"/>
      <c r="B138" s="67"/>
      <c r="C138" s="68"/>
      <c r="D138" s="178"/>
      <c r="E138" s="178"/>
      <c r="F138" s="178"/>
      <c r="G138" s="178"/>
      <c r="H138" s="178"/>
      <c r="I138" s="178"/>
      <c r="J138" s="179"/>
      <c r="K138" s="178"/>
      <c r="L138" s="180"/>
      <c r="M138" s="581"/>
      <c r="N138" s="582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</row>
    <row r="139" spans="1:57" ht="20.100000000000001" customHeight="1">
      <c r="A139" s="78"/>
      <c r="C139" s="79"/>
      <c r="D139" s="667" t="str">
        <f>D76</f>
        <v>MAC QT 315 L</v>
      </c>
      <c r="E139" s="668"/>
      <c r="F139" s="668"/>
      <c r="G139" s="668"/>
      <c r="H139" s="668"/>
      <c r="I139" s="668"/>
      <c r="J139" s="668"/>
      <c r="K139" s="669"/>
      <c r="L139" s="181"/>
      <c r="M139" s="670"/>
      <c r="N139" s="592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</row>
    <row r="140" spans="1:57" ht="20.100000000000001" customHeight="1">
      <c r="A140" s="78"/>
      <c r="C140" s="79"/>
      <c r="D140" s="588" t="s">
        <v>120</v>
      </c>
      <c r="E140" s="589"/>
      <c r="F140" s="589"/>
      <c r="G140" s="589"/>
      <c r="H140" s="589"/>
      <c r="I140" s="589"/>
      <c r="J140" s="589"/>
      <c r="K140" s="590"/>
      <c r="L140" s="181" t="s">
        <v>105</v>
      </c>
      <c r="M140" s="591" t="s">
        <v>121</v>
      </c>
      <c r="N140" s="592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</row>
    <row r="141" spans="1:57" ht="20.100000000000001" customHeight="1">
      <c r="A141" s="78"/>
      <c r="C141" s="79"/>
      <c r="D141" s="597" t="s">
        <v>122</v>
      </c>
      <c r="E141" s="598"/>
      <c r="F141" s="598"/>
      <c r="G141" s="598"/>
      <c r="H141" s="598"/>
      <c r="I141" s="598"/>
      <c r="J141" s="598"/>
      <c r="K141" s="599"/>
      <c r="L141" s="181" t="s">
        <v>13</v>
      </c>
      <c r="M141" s="600">
        <f>M78</f>
        <v>45239</v>
      </c>
      <c r="N141" s="666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</row>
    <row r="142" spans="1:57" ht="20.100000000000001" customHeight="1" thickBot="1">
      <c r="A142" s="81"/>
      <c r="B142" s="82"/>
      <c r="C142" s="83"/>
      <c r="D142" s="182"/>
      <c r="E142" s="182"/>
      <c r="F142" s="182"/>
      <c r="G142" s="182"/>
      <c r="H142" s="182"/>
      <c r="I142" s="182"/>
      <c r="J142" s="183"/>
      <c r="K142" s="182"/>
      <c r="L142" s="184"/>
      <c r="M142" s="601"/>
      <c r="N142" s="602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</row>
    <row r="143" spans="1:57" ht="54.75" customHeight="1">
      <c r="H143" s="201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</row>
    <row r="144" spans="1:57" ht="72" customHeight="1" thickBot="1">
      <c r="C144" s="202"/>
      <c r="D144" s="203"/>
      <c r="E144" s="203"/>
      <c r="F144" s="203"/>
      <c r="G144" s="203"/>
      <c r="H144" s="203"/>
      <c r="I144" s="203"/>
      <c r="J144" s="203"/>
      <c r="K144" s="203"/>
      <c r="L144" s="203"/>
      <c r="M144" s="203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BE144" s="76"/>
    </row>
    <row r="145" spans="1:57" ht="42.75" customHeight="1" thickTop="1" thickBot="1">
      <c r="C145" s="691" t="str">
        <f>D76</f>
        <v>MAC QT 315 L</v>
      </c>
      <c r="D145" s="692"/>
      <c r="E145" s="692"/>
      <c r="F145" s="692"/>
      <c r="G145" s="204" t="str">
        <f>A87</f>
        <v>F61</v>
      </c>
      <c r="H145" s="205"/>
      <c r="I145" s="206">
        <f>F9</f>
        <v>6</v>
      </c>
      <c r="J145" s="207" t="s">
        <v>123</v>
      </c>
      <c r="K145" s="693" t="s">
        <v>67</v>
      </c>
      <c r="L145" s="694"/>
      <c r="M145" s="695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BE145" s="76"/>
    </row>
    <row r="146" spans="1:57" ht="42.75" customHeight="1" thickTop="1" thickBot="1">
      <c r="C146" s="208" t="s">
        <v>124</v>
      </c>
      <c r="D146" s="696"/>
      <c r="E146" s="696"/>
      <c r="F146" s="697"/>
      <c r="G146" s="209" t="s">
        <v>125</v>
      </c>
      <c r="H146" s="698"/>
      <c r="I146" s="696"/>
      <c r="J146" s="697"/>
      <c r="K146" s="699" t="str">
        <f>J11</f>
        <v>IM B3</v>
      </c>
      <c r="L146" s="694"/>
      <c r="M146" s="695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BE146" s="76"/>
    </row>
    <row r="147" spans="1:57" s="196" customFormat="1" ht="42.75" customHeight="1" thickTop="1" thickBot="1">
      <c r="A147" s="77"/>
      <c r="C147" s="208" t="s">
        <v>126</v>
      </c>
      <c r="D147" s="703">
        <f>D87</f>
        <v>543.74953730905247</v>
      </c>
      <c r="E147" s="704"/>
      <c r="F147" s="210" t="s">
        <v>127</v>
      </c>
      <c r="G147" s="209" t="s">
        <v>128</v>
      </c>
      <c r="H147" s="705">
        <f>B87</f>
        <v>6200</v>
      </c>
      <c r="I147" s="706"/>
      <c r="J147" s="207" t="s">
        <v>79</v>
      </c>
      <c r="K147" s="699" t="str">
        <f>G11</f>
        <v>IP 23</v>
      </c>
      <c r="L147" s="707"/>
      <c r="M147" s="708"/>
      <c r="N147" s="77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211"/>
      <c r="AI147" s="211"/>
      <c r="AJ147" s="211"/>
      <c r="AK147" s="211"/>
      <c r="AL147" s="211"/>
      <c r="AM147" s="212"/>
      <c r="AN147" s="212"/>
      <c r="AO147" s="212"/>
      <c r="AP147" s="213"/>
      <c r="AQ147" s="212"/>
      <c r="AR147" s="211"/>
      <c r="AS147" s="211"/>
      <c r="AT147" s="211"/>
      <c r="AU147" s="211"/>
      <c r="AV147" s="211"/>
      <c r="AW147" s="211"/>
      <c r="AX147" s="211"/>
      <c r="AY147" s="211"/>
      <c r="AZ147" s="211"/>
      <c r="BA147" s="424"/>
      <c r="BB147" s="424"/>
      <c r="BC147" s="424"/>
      <c r="BD147" s="424"/>
      <c r="BE147" s="214"/>
    </row>
    <row r="148" spans="1:57" ht="42.75" customHeight="1" thickTop="1" thickBot="1">
      <c r="C148" s="208" t="s">
        <v>129</v>
      </c>
      <c r="D148" s="215" t="str">
        <f>IF(RIGHT(G145)="1","Y","D")</f>
        <v>Y</v>
      </c>
      <c r="E148" s="216">
        <f>F81</f>
        <v>500</v>
      </c>
      <c r="F148" s="210" t="s">
        <v>130</v>
      </c>
      <c r="G148" s="209" t="s">
        <v>131</v>
      </c>
      <c r="H148" s="709">
        <f>F87</f>
        <v>42.5</v>
      </c>
      <c r="I148" s="703"/>
      <c r="J148" s="207" t="s">
        <v>83</v>
      </c>
      <c r="K148" s="693" t="str">
        <f>C8</f>
        <v>IC 06</v>
      </c>
      <c r="L148" s="694"/>
      <c r="M148" s="695"/>
      <c r="BE148" s="76"/>
    </row>
    <row r="149" spans="1:57" ht="42.75" customHeight="1" thickTop="1" thickBot="1">
      <c r="C149" s="208" t="s">
        <v>132</v>
      </c>
      <c r="D149" s="703">
        <f>C87</f>
        <v>777.67118882433817</v>
      </c>
      <c r="E149" s="704"/>
      <c r="F149" s="210" t="s">
        <v>35</v>
      </c>
      <c r="G149" s="209" t="s">
        <v>133</v>
      </c>
      <c r="H149" s="217">
        <f>P87</f>
        <v>0.84778747419475275</v>
      </c>
      <c r="I149" s="208" t="s">
        <v>134</v>
      </c>
      <c r="J149" s="218">
        <f>O87</f>
        <v>0.95232517130615568</v>
      </c>
      <c r="K149" s="693" t="str">
        <f>I15</f>
        <v>Cl. F</v>
      </c>
      <c r="L149" s="694"/>
      <c r="M149" s="695"/>
      <c r="BE149" s="76"/>
    </row>
    <row r="150" spans="1:57" ht="42.75" customHeight="1" thickTop="1" thickBot="1">
      <c r="C150" s="208" t="s">
        <v>135</v>
      </c>
      <c r="D150" s="710">
        <f>E87</f>
        <v>837.48800000000006</v>
      </c>
      <c r="E150" s="711"/>
      <c r="F150" s="210" t="s">
        <v>82</v>
      </c>
      <c r="G150" s="209" t="s">
        <v>136</v>
      </c>
      <c r="H150" s="712">
        <f>L13</f>
        <v>4000</v>
      </c>
      <c r="I150" s="706"/>
      <c r="J150" s="219" t="s">
        <v>82</v>
      </c>
      <c r="K150" s="693" t="str">
        <f>F24</f>
        <v>S1</v>
      </c>
      <c r="L150" s="694"/>
      <c r="M150" s="695"/>
      <c r="BE150" s="76"/>
    </row>
    <row r="151" spans="1:57" ht="42.75" customHeight="1" thickTop="1" thickBot="1">
      <c r="C151" s="220" t="s">
        <v>137</v>
      </c>
      <c r="D151" s="221"/>
      <c r="E151" s="222" t="s">
        <v>130</v>
      </c>
      <c r="F151" s="221" t="s">
        <v>138</v>
      </c>
      <c r="G151" s="223" t="s">
        <v>139</v>
      </c>
      <c r="H151" s="224"/>
      <c r="I151" s="220" t="s">
        <v>140</v>
      </c>
      <c r="J151" s="225" t="s">
        <v>79</v>
      </c>
      <c r="K151" s="222" t="s">
        <v>79</v>
      </c>
      <c r="L151" s="226" t="s">
        <v>141</v>
      </c>
      <c r="M151" s="227" t="s">
        <v>141</v>
      </c>
      <c r="BE151" s="76"/>
    </row>
    <row r="152" spans="1:57" ht="42.75" customHeight="1" thickTop="1" thickBot="1">
      <c r="C152" s="700" t="s">
        <v>142</v>
      </c>
      <c r="D152" s="701"/>
      <c r="E152" s="701"/>
      <c r="F152" s="701"/>
      <c r="G152" s="701"/>
      <c r="H152" s="701"/>
      <c r="I152" s="701"/>
      <c r="J152" s="701"/>
      <c r="K152" s="701"/>
      <c r="L152" s="701"/>
      <c r="M152" s="702"/>
      <c r="BE152" s="76"/>
    </row>
    <row r="153" spans="1:57" ht="15" customHeight="1" thickTop="1">
      <c r="O153" s="460"/>
      <c r="P153" s="460"/>
      <c r="Q153" s="460"/>
      <c r="R153" s="460"/>
      <c r="S153" s="460"/>
      <c r="T153" s="460"/>
      <c r="U153" s="460"/>
    </row>
  </sheetData>
  <sheetProtection sheet="1" objects="1" scenarios="1"/>
  <mergeCells count="97">
    <mergeCell ref="C19:C20"/>
    <mergeCell ref="F19:F20"/>
    <mergeCell ref="C152:M152"/>
    <mergeCell ref="D147:E147"/>
    <mergeCell ref="H147:I147"/>
    <mergeCell ref="K147:M147"/>
    <mergeCell ref="H148:I148"/>
    <mergeCell ref="K148:M148"/>
    <mergeCell ref="D149:E149"/>
    <mergeCell ref="K149:M149"/>
    <mergeCell ref="D141:K141"/>
    <mergeCell ref="M141:N141"/>
    <mergeCell ref="D150:E150"/>
    <mergeCell ref="H150:I150"/>
    <mergeCell ref="K150:M150"/>
    <mergeCell ref="M142:N142"/>
    <mergeCell ref="C145:F145"/>
    <mergeCell ref="K145:M145"/>
    <mergeCell ref="D146:F146"/>
    <mergeCell ref="H146:J146"/>
    <mergeCell ref="K146:M146"/>
    <mergeCell ref="M138:N138"/>
    <mergeCell ref="D139:K139"/>
    <mergeCell ref="M139:N139"/>
    <mergeCell ref="D140:K140"/>
    <mergeCell ref="M140:N140"/>
    <mergeCell ref="A113:C114"/>
    <mergeCell ref="M81:N82"/>
    <mergeCell ref="Q81:T81"/>
    <mergeCell ref="W81:AB81"/>
    <mergeCell ref="A82:D82"/>
    <mergeCell ref="H82:K82"/>
    <mergeCell ref="Q82:T82"/>
    <mergeCell ref="W82:AB82"/>
    <mergeCell ref="B84:E85"/>
    <mergeCell ref="F84:F85"/>
    <mergeCell ref="H84:K85"/>
    <mergeCell ref="L84:L85"/>
    <mergeCell ref="A89:C90"/>
    <mergeCell ref="M79:N79"/>
    <mergeCell ref="A81:D81"/>
    <mergeCell ref="E81:E82"/>
    <mergeCell ref="F81:G82"/>
    <mergeCell ref="H81:K81"/>
    <mergeCell ref="L81:L82"/>
    <mergeCell ref="D77:K77"/>
    <mergeCell ref="M77:N77"/>
    <mergeCell ref="D78:K78"/>
    <mergeCell ref="M78:N78"/>
    <mergeCell ref="D76:K76"/>
    <mergeCell ref="M76:N76"/>
    <mergeCell ref="M21:N22"/>
    <mergeCell ref="A22:D22"/>
    <mergeCell ref="H22:K22"/>
    <mergeCell ref="B24:E25"/>
    <mergeCell ref="F24:F25"/>
    <mergeCell ref="H24:K25"/>
    <mergeCell ref="L24:L25"/>
    <mergeCell ref="A21:D21"/>
    <mergeCell ref="E21:E22"/>
    <mergeCell ref="F21:G22"/>
    <mergeCell ref="H21:K21"/>
    <mergeCell ref="L21:L22"/>
    <mergeCell ref="M75:N75"/>
    <mergeCell ref="C11:D11"/>
    <mergeCell ref="G11:G12"/>
    <mergeCell ref="N11:N12"/>
    <mergeCell ref="C12:D12"/>
    <mergeCell ref="C13:D13"/>
    <mergeCell ref="G13:H14"/>
    <mergeCell ref="L13:N14"/>
    <mergeCell ref="C14:D14"/>
    <mergeCell ref="C15:D15"/>
    <mergeCell ref="F15:F16"/>
    <mergeCell ref="I15:I16"/>
    <mergeCell ref="K15:K16"/>
    <mergeCell ref="N15:N16"/>
    <mergeCell ref="A16:D18"/>
    <mergeCell ref="F17:H18"/>
    <mergeCell ref="K17:N18"/>
    <mergeCell ref="D4:K4"/>
    <mergeCell ref="M4:N4"/>
    <mergeCell ref="M5:N5"/>
    <mergeCell ref="H7:I8"/>
    <mergeCell ref="J7:L7"/>
    <mergeCell ref="M7:N8"/>
    <mergeCell ref="C8:D9"/>
    <mergeCell ref="J8:L8"/>
    <mergeCell ref="F9:F10"/>
    <mergeCell ref="I9:J10"/>
    <mergeCell ref="M9:N10"/>
    <mergeCell ref="G10:H10"/>
    <mergeCell ref="M1:N1"/>
    <mergeCell ref="D2:K2"/>
    <mergeCell ref="M2:N2"/>
    <mergeCell ref="D3:K3"/>
    <mergeCell ref="M3:N3"/>
  </mergeCells>
  <dataValidations disablePrompts="1" count="1">
    <dataValidation type="list" allowBlank="1" showInputMessage="1" showErrorMessage="1" sqref="K146:M146 WVS983186:WVU983186 WLW983186:WLY983186 WCA983186:WCC983186 VSE983186:VSG983186 VII983186:VIK983186 UYM983186:UYO983186 UOQ983186:UOS983186 UEU983186:UEW983186 TUY983186:TVA983186 TLC983186:TLE983186 TBG983186:TBI983186 SRK983186:SRM983186 SHO983186:SHQ983186 RXS983186:RXU983186 RNW983186:RNY983186 REA983186:REC983186 QUE983186:QUG983186 QKI983186:QKK983186 QAM983186:QAO983186 PQQ983186:PQS983186 PGU983186:PGW983186 OWY983186:OXA983186 ONC983186:ONE983186 ODG983186:ODI983186 NTK983186:NTM983186 NJO983186:NJQ983186 MZS983186:MZU983186 MPW983186:MPY983186 MGA983186:MGC983186 LWE983186:LWG983186 LMI983186:LMK983186 LCM983186:LCO983186 KSQ983186:KSS983186 KIU983186:KIW983186 JYY983186:JZA983186 JPC983186:JPE983186 JFG983186:JFI983186 IVK983186:IVM983186 ILO983186:ILQ983186 IBS983186:IBU983186 HRW983186:HRY983186 HIA983186:HIC983186 GYE983186:GYG983186 GOI983186:GOK983186 GEM983186:GEO983186 FUQ983186:FUS983186 FKU983186:FKW983186 FAY983186:FBA983186 ERC983186:ERE983186 EHG983186:EHI983186 DXK983186:DXM983186 DNO983186:DNQ983186 DDS983186:DDU983186 CTW983186:CTY983186 CKA983186:CKC983186 CAE983186:CAG983186 BQI983186:BQK983186 BGM983186:BGO983186 AWQ983186:AWS983186 AMU983186:AMW983186 ACY983186:ADA983186 TC983186:TE983186 JG983186:JI983186 K983186:M983186 WVS917650:WVU917650 WLW917650:WLY917650 WCA917650:WCC917650 VSE917650:VSG917650 VII917650:VIK917650 UYM917650:UYO917650 UOQ917650:UOS917650 UEU917650:UEW917650 TUY917650:TVA917650 TLC917650:TLE917650 TBG917650:TBI917650 SRK917650:SRM917650 SHO917650:SHQ917650 RXS917650:RXU917650 RNW917650:RNY917650 REA917650:REC917650 QUE917650:QUG917650 QKI917650:QKK917650 QAM917650:QAO917650 PQQ917650:PQS917650 PGU917650:PGW917650 OWY917650:OXA917650 ONC917650:ONE917650 ODG917650:ODI917650 NTK917650:NTM917650 NJO917650:NJQ917650 MZS917650:MZU917650 MPW917650:MPY917650 MGA917650:MGC917650 LWE917650:LWG917650 LMI917650:LMK917650 LCM917650:LCO917650 KSQ917650:KSS917650 KIU917650:KIW917650 JYY917650:JZA917650 JPC917650:JPE917650 JFG917650:JFI917650 IVK917650:IVM917650 ILO917650:ILQ917650 IBS917650:IBU917650 HRW917650:HRY917650 HIA917650:HIC917650 GYE917650:GYG917650 GOI917650:GOK917650 GEM917650:GEO917650 FUQ917650:FUS917650 FKU917650:FKW917650 FAY917650:FBA917650 ERC917650:ERE917650 EHG917650:EHI917650 DXK917650:DXM917650 DNO917650:DNQ917650 DDS917650:DDU917650 CTW917650:CTY917650 CKA917650:CKC917650 CAE917650:CAG917650 BQI917650:BQK917650 BGM917650:BGO917650 AWQ917650:AWS917650 AMU917650:AMW917650 ACY917650:ADA917650 TC917650:TE917650 JG917650:JI917650 K917650:M917650 WVS852114:WVU852114 WLW852114:WLY852114 WCA852114:WCC852114 VSE852114:VSG852114 VII852114:VIK852114 UYM852114:UYO852114 UOQ852114:UOS852114 UEU852114:UEW852114 TUY852114:TVA852114 TLC852114:TLE852114 TBG852114:TBI852114 SRK852114:SRM852114 SHO852114:SHQ852114 RXS852114:RXU852114 RNW852114:RNY852114 REA852114:REC852114 QUE852114:QUG852114 QKI852114:QKK852114 QAM852114:QAO852114 PQQ852114:PQS852114 PGU852114:PGW852114 OWY852114:OXA852114 ONC852114:ONE852114 ODG852114:ODI852114 NTK852114:NTM852114 NJO852114:NJQ852114 MZS852114:MZU852114 MPW852114:MPY852114 MGA852114:MGC852114 LWE852114:LWG852114 LMI852114:LMK852114 LCM852114:LCO852114 KSQ852114:KSS852114 KIU852114:KIW852114 JYY852114:JZA852114 JPC852114:JPE852114 JFG852114:JFI852114 IVK852114:IVM852114 ILO852114:ILQ852114 IBS852114:IBU852114 HRW852114:HRY852114 HIA852114:HIC852114 GYE852114:GYG852114 GOI852114:GOK852114 GEM852114:GEO852114 FUQ852114:FUS852114 FKU852114:FKW852114 FAY852114:FBA852114 ERC852114:ERE852114 EHG852114:EHI852114 DXK852114:DXM852114 DNO852114:DNQ852114 DDS852114:DDU852114 CTW852114:CTY852114 CKA852114:CKC852114 CAE852114:CAG852114 BQI852114:BQK852114 BGM852114:BGO852114 AWQ852114:AWS852114 AMU852114:AMW852114 ACY852114:ADA852114 TC852114:TE852114 JG852114:JI852114 K852114:M852114 WVS786578:WVU786578 WLW786578:WLY786578 WCA786578:WCC786578 VSE786578:VSG786578 VII786578:VIK786578 UYM786578:UYO786578 UOQ786578:UOS786578 UEU786578:UEW786578 TUY786578:TVA786578 TLC786578:TLE786578 TBG786578:TBI786578 SRK786578:SRM786578 SHO786578:SHQ786578 RXS786578:RXU786578 RNW786578:RNY786578 REA786578:REC786578 QUE786578:QUG786578 QKI786578:QKK786578 QAM786578:QAO786578 PQQ786578:PQS786578 PGU786578:PGW786578 OWY786578:OXA786578 ONC786578:ONE786578 ODG786578:ODI786578 NTK786578:NTM786578 NJO786578:NJQ786578 MZS786578:MZU786578 MPW786578:MPY786578 MGA786578:MGC786578 LWE786578:LWG786578 LMI786578:LMK786578 LCM786578:LCO786578 KSQ786578:KSS786578 KIU786578:KIW786578 JYY786578:JZA786578 JPC786578:JPE786578 JFG786578:JFI786578 IVK786578:IVM786578 ILO786578:ILQ786578 IBS786578:IBU786578 HRW786578:HRY786578 HIA786578:HIC786578 GYE786578:GYG786578 GOI786578:GOK786578 GEM786578:GEO786578 FUQ786578:FUS786578 FKU786578:FKW786578 FAY786578:FBA786578 ERC786578:ERE786578 EHG786578:EHI786578 DXK786578:DXM786578 DNO786578:DNQ786578 DDS786578:DDU786578 CTW786578:CTY786578 CKA786578:CKC786578 CAE786578:CAG786578 BQI786578:BQK786578 BGM786578:BGO786578 AWQ786578:AWS786578 AMU786578:AMW786578 ACY786578:ADA786578 TC786578:TE786578 JG786578:JI786578 K786578:M786578 WVS721042:WVU721042 WLW721042:WLY721042 WCA721042:WCC721042 VSE721042:VSG721042 VII721042:VIK721042 UYM721042:UYO721042 UOQ721042:UOS721042 UEU721042:UEW721042 TUY721042:TVA721042 TLC721042:TLE721042 TBG721042:TBI721042 SRK721042:SRM721042 SHO721042:SHQ721042 RXS721042:RXU721042 RNW721042:RNY721042 REA721042:REC721042 QUE721042:QUG721042 QKI721042:QKK721042 QAM721042:QAO721042 PQQ721042:PQS721042 PGU721042:PGW721042 OWY721042:OXA721042 ONC721042:ONE721042 ODG721042:ODI721042 NTK721042:NTM721042 NJO721042:NJQ721042 MZS721042:MZU721042 MPW721042:MPY721042 MGA721042:MGC721042 LWE721042:LWG721042 LMI721042:LMK721042 LCM721042:LCO721042 KSQ721042:KSS721042 KIU721042:KIW721042 JYY721042:JZA721042 JPC721042:JPE721042 JFG721042:JFI721042 IVK721042:IVM721042 ILO721042:ILQ721042 IBS721042:IBU721042 HRW721042:HRY721042 HIA721042:HIC721042 GYE721042:GYG721042 GOI721042:GOK721042 GEM721042:GEO721042 FUQ721042:FUS721042 FKU721042:FKW721042 FAY721042:FBA721042 ERC721042:ERE721042 EHG721042:EHI721042 DXK721042:DXM721042 DNO721042:DNQ721042 DDS721042:DDU721042 CTW721042:CTY721042 CKA721042:CKC721042 CAE721042:CAG721042 BQI721042:BQK721042 BGM721042:BGO721042 AWQ721042:AWS721042 AMU721042:AMW721042 ACY721042:ADA721042 TC721042:TE721042 JG721042:JI721042 K721042:M721042 WVS655506:WVU655506 WLW655506:WLY655506 WCA655506:WCC655506 VSE655506:VSG655506 VII655506:VIK655506 UYM655506:UYO655506 UOQ655506:UOS655506 UEU655506:UEW655506 TUY655506:TVA655506 TLC655506:TLE655506 TBG655506:TBI655506 SRK655506:SRM655506 SHO655506:SHQ655506 RXS655506:RXU655506 RNW655506:RNY655506 REA655506:REC655506 QUE655506:QUG655506 QKI655506:QKK655506 QAM655506:QAO655506 PQQ655506:PQS655506 PGU655506:PGW655506 OWY655506:OXA655506 ONC655506:ONE655506 ODG655506:ODI655506 NTK655506:NTM655506 NJO655506:NJQ655506 MZS655506:MZU655506 MPW655506:MPY655506 MGA655506:MGC655506 LWE655506:LWG655506 LMI655506:LMK655506 LCM655506:LCO655506 KSQ655506:KSS655506 KIU655506:KIW655506 JYY655506:JZA655506 JPC655506:JPE655506 JFG655506:JFI655506 IVK655506:IVM655506 ILO655506:ILQ655506 IBS655506:IBU655506 HRW655506:HRY655506 HIA655506:HIC655506 GYE655506:GYG655506 GOI655506:GOK655506 GEM655506:GEO655506 FUQ655506:FUS655506 FKU655506:FKW655506 FAY655506:FBA655506 ERC655506:ERE655506 EHG655506:EHI655506 DXK655506:DXM655506 DNO655506:DNQ655506 DDS655506:DDU655506 CTW655506:CTY655506 CKA655506:CKC655506 CAE655506:CAG655506 BQI655506:BQK655506 BGM655506:BGO655506 AWQ655506:AWS655506 AMU655506:AMW655506 ACY655506:ADA655506 TC655506:TE655506 JG655506:JI655506 K655506:M655506 WVS589970:WVU589970 WLW589970:WLY589970 WCA589970:WCC589970 VSE589970:VSG589970 VII589970:VIK589970 UYM589970:UYO589970 UOQ589970:UOS589970 UEU589970:UEW589970 TUY589970:TVA589970 TLC589970:TLE589970 TBG589970:TBI589970 SRK589970:SRM589970 SHO589970:SHQ589970 RXS589970:RXU589970 RNW589970:RNY589970 REA589970:REC589970 QUE589970:QUG589970 QKI589970:QKK589970 QAM589970:QAO589970 PQQ589970:PQS589970 PGU589970:PGW589970 OWY589970:OXA589970 ONC589970:ONE589970 ODG589970:ODI589970 NTK589970:NTM589970 NJO589970:NJQ589970 MZS589970:MZU589970 MPW589970:MPY589970 MGA589970:MGC589970 LWE589970:LWG589970 LMI589970:LMK589970 LCM589970:LCO589970 KSQ589970:KSS589970 KIU589970:KIW589970 JYY589970:JZA589970 JPC589970:JPE589970 JFG589970:JFI589970 IVK589970:IVM589970 ILO589970:ILQ589970 IBS589970:IBU589970 HRW589970:HRY589970 HIA589970:HIC589970 GYE589970:GYG589970 GOI589970:GOK589970 GEM589970:GEO589970 FUQ589970:FUS589970 FKU589970:FKW589970 FAY589970:FBA589970 ERC589970:ERE589970 EHG589970:EHI589970 DXK589970:DXM589970 DNO589970:DNQ589970 DDS589970:DDU589970 CTW589970:CTY589970 CKA589970:CKC589970 CAE589970:CAG589970 BQI589970:BQK589970 BGM589970:BGO589970 AWQ589970:AWS589970 AMU589970:AMW589970 ACY589970:ADA589970 TC589970:TE589970 JG589970:JI589970 K589970:M589970 WVS524434:WVU524434 WLW524434:WLY524434 WCA524434:WCC524434 VSE524434:VSG524434 VII524434:VIK524434 UYM524434:UYO524434 UOQ524434:UOS524434 UEU524434:UEW524434 TUY524434:TVA524434 TLC524434:TLE524434 TBG524434:TBI524434 SRK524434:SRM524434 SHO524434:SHQ524434 RXS524434:RXU524434 RNW524434:RNY524434 REA524434:REC524434 QUE524434:QUG524434 QKI524434:QKK524434 QAM524434:QAO524434 PQQ524434:PQS524434 PGU524434:PGW524434 OWY524434:OXA524434 ONC524434:ONE524434 ODG524434:ODI524434 NTK524434:NTM524434 NJO524434:NJQ524434 MZS524434:MZU524434 MPW524434:MPY524434 MGA524434:MGC524434 LWE524434:LWG524434 LMI524434:LMK524434 LCM524434:LCO524434 KSQ524434:KSS524434 KIU524434:KIW524434 JYY524434:JZA524434 JPC524434:JPE524434 JFG524434:JFI524434 IVK524434:IVM524434 ILO524434:ILQ524434 IBS524434:IBU524434 HRW524434:HRY524434 HIA524434:HIC524434 GYE524434:GYG524434 GOI524434:GOK524434 GEM524434:GEO524434 FUQ524434:FUS524434 FKU524434:FKW524434 FAY524434:FBA524434 ERC524434:ERE524434 EHG524434:EHI524434 DXK524434:DXM524434 DNO524434:DNQ524434 DDS524434:DDU524434 CTW524434:CTY524434 CKA524434:CKC524434 CAE524434:CAG524434 BQI524434:BQK524434 BGM524434:BGO524434 AWQ524434:AWS524434 AMU524434:AMW524434 ACY524434:ADA524434 TC524434:TE524434 JG524434:JI524434 K524434:M524434 WVS458898:WVU458898 WLW458898:WLY458898 WCA458898:WCC458898 VSE458898:VSG458898 VII458898:VIK458898 UYM458898:UYO458898 UOQ458898:UOS458898 UEU458898:UEW458898 TUY458898:TVA458898 TLC458898:TLE458898 TBG458898:TBI458898 SRK458898:SRM458898 SHO458898:SHQ458898 RXS458898:RXU458898 RNW458898:RNY458898 REA458898:REC458898 QUE458898:QUG458898 QKI458898:QKK458898 QAM458898:QAO458898 PQQ458898:PQS458898 PGU458898:PGW458898 OWY458898:OXA458898 ONC458898:ONE458898 ODG458898:ODI458898 NTK458898:NTM458898 NJO458898:NJQ458898 MZS458898:MZU458898 MPW458898:MPY458898 MGA458898:MGC458898 LWE458898:LWG458898 LMI458898:LMK458898 LCM458898:LCO458898 KSQ458898:KSS458898 KIU458898:KIW458898 JYY458898:JZA458898 JPC458898:JPE458898 JFG458898:JFI458898 IVK458898:IVM458898 ILO458898:ILQ458898 IBS458898:IBU458898 HRW458898:HRY458898 HIA458898:HIC458898 GYE458898:GYG458898 GOI458898:GOK458898 GEM458898:GEO458898 FUQ458898:FUS458898 FKU458898:FKW458898 FAY458898:FBA458898 ERC458898:ERE458898 EHG458898:EHI458898 DXK458898:DXM458898 DNO458898:DNQ458898 DDS458898:DDU458898 CTW458898:CTY458898 CKA458898:CKC458898 CAE458898:CAG458898 BQI458898:BQK458898 BGM458898:BGO458898 AWQ458898:AWS458898 AMU458898:AMW458898 ACY458898:ADA458898 TC458898:TE458898 JG458898:JI458898 K458898:M458898 WVS393362:WVU393362 WLW393362:WLY393362 WCA393362:WCC393362 VSE393362:VSG393362 VII393362:VIK393362 UYM393362:UYO393362 UOQ393362:UOS393362 UEU393362:UEW393362 TUY393362:TVA393362 TLC393362:TLE393362 TBG393362:TBI393362 SRK393362:SRM393362 SHO393362:SHQ393362 RXS393362:RXU393362 RNW393362:RNY393362 REA393362:REC393362 QUE393362:QUG393362 QKI393362:QKK393362 QAM393362:QAO393362 PQQ393362:PQS393362 PGU393362:PGW393362 OWY393362:OXA393362 ONC393362:ONE393362 ODG393362:ODI393362 NTK393362:NTM393362 NJO393362:NJQ393362 MZS393362:MZU393362 MPW393362:MPY393362 MGA393362:MGC393362 LWE393362:LWG393362 LMI393362:LMK393362 LCM393362:LCO393362 KSQ393362:KSS393362 KIU393362:KIW393362 JYY393362:JZA393362 JPC393362:JPE393362 JFG393362:JFI393362 IVK393362:IVM393362 ILO393362:ILQ393362 IBS393362:IBU393362 HRW393362:HRY393362 HIA393362:HIC393362 GYE393362:GYG393362 GOI393362:GOK393362 GEM393362:GEO393362 FUQ393362:FUS393362 FKU393362:FKW393362 FAY393362:FBA393362 ERC393362:ERE393362 EHG393362:EHI393362 DXK393362:DXM393362 DNO393362:DNQ393362 DDS393362:DDU393362 CTW393362:CTY393362 CKA393362:CKC393362 CAE393362:CAG393362 BQI393362:BQK393362 BGM393362:BGO393362 AWQ393362:AWS393362 AMU393362:AMW393362 ACY393362:ADA393362 TC393362:TE393362 JG393362:JI393362 K393362:M393362 WVS327826:WVU327826 WLW327826:WLY327826 WCA327826:WCC327826 VSE327826:VSG327826 VII327826:VIK327826 UYM327826:UYO327826 UOQ327826:UOS327826 UEU327826:UEW327826 TUY327826:TVA327826 TLC327826:TLE327826 TBG327826:TBI327826 SRK327826:SRM327826 SHO327826:SHQ327826 RXS327826:RXU327826 RNW327826:RNY327826 REA327826:REC327826 QUE327826:QUG327826 QKI327826:QKK327826 QAM327826:QAO327826 PQQ327826:PQS327826 PGU327826:PGW327826 OWY327826:OXA327826 ONC327826:ONE327826 ODG327826:ODI327826 NTK327826:NTM327826 NJO327826:NJQ327826 MZS327826:MZU327826 MPW327826:MPY327826 MGA327826:MGC327826 LWE327826:LWG327826 LMI327826:LMK327826 LCM327826:LCO327826 KSQ327826:KSS327826 KIU327826:KIW327826 JYY327826:JZA327826 JPC327826:JPE327826 JFG327826:JFI327826 IVK327826:IVM327826 ILO327826:ILQ327826 IBS327826:IBU327826 HRW327826:HRY327826 HIA327826:HIC327826 GYE327826:GYG327826 GOI327826:GOK327826 GEM327826:GEO327826 FUQ327826:FUS327826 FKU327826:FKW327826 FAY327826:FBA327826 ERC327826:ERE327826 EHG327826:EHI327826 DXK327826:DXM327826 DNO327826:DNQ327826 DDS327826:DDU327826 CTW327826:CTY327826 CKA327826:CKC327826 CAE327826:CAG327826 BQI327826:BQK327826 BGM327826:BGO327826 AWQ327826:AWS327826 AMU327826:AMW327826 ACY327826:ADA327826 TC327826:TE327826 JG327826:JI327826 K327826:M327826 WVS262290:WVU262290 WLW262290:WLY262290 WCA262290:WCC262290 VSE262290:VSG262290 VII262290:VIK262290 UYM262290:UYO262290 UOQ262290:UOS262290 UEU262290:UEW262290 TUY262290:TVA262290 TLC262290:TLE262290 TBG262290:TBI262290 SRK262290:SRM262290 SHO262290:SHQ262290 RXS262290:RXU262290 RNW262290:RNY262290 REA262290:REC262290 QUE262290:QUG262290 QKI262290:QKK262290 QAM262290:QAO262290 PQQ262290:PQS262290 PGU262290:PGW262290 OWY262290:OXA262290 ONC262290:ONE262290 ODG262290:ODI262290 NTK262290:NTM262290 NJO262290:NJQ262290 MZS262290:MZU262290 MPW262290:MPY262290 MGA262290:MGC262290 LWE262290:LWG262290 LMI262290:LMK262290 LCM262290:LCO262290 KSQ262290:KSS262290 KIU262290:KIW262290 JYY262290:JZA262290 JPC262290:JPE262290 JFG262290:JFI262290 IVK262290:IVM262290 ILO262290:ILQ262290 IBS262290:IBU262290 HRW262290:HRY262290 HIA262290:HIC262290 GYE262290:GYG262290 GOI262290:GOK262290 GEM262290:GEO262290 FUQ262290:FUS262290 FKU262290:FKW262290 FAY262290:FBA262290 ERC262290:ERE262290 EHG262290:EHI262290 DXK262290:DXM262290 DNO262290:DNQ262290 DDS262290:DDU262290 CTW262290:CTY262290 CKA262290:CKC262290 CAE262290:CAG262290 BQI262290:BQK262290 BGM262290:BGO262290 AWQ262290:AWS262290 AMU262290:AMW262290 ACY262290:ADA262290 TC262290:TE262290 JG262290:JI262290 K262290:M262290 WVS196754:WVU196754 WLW196754:WLY196754 WCA196754:WCC196754 VSE196754:VSG196754 VII196754:VIK196754 UYM196754:UYO196754 UOQ196754:UOS196754 UEU196754:UEW196754 TUY196754:TVA196754 TLC196754:TLE196754 TBG196754:TBI196754 SRK196754:SRM196754 SHO196754:SHQ196754 RXS196754:RXU196754 RNW196754:RNY196754 REA196754:REC196754 QUE196754:QUG196754 QKI196754:QKK196754 QAM196754:QAO196754 PQQ196754:PQS196754 PGU196754:PGW196754 OWY196754:OXA196754 ONC196754:ONE196754 ODG196754:ODI196754 NTK196754:NTM196754 NJO196754:NJQ196754 MZS196754:MZU196754 MPW196754:MPY196754 MGA196754:MGC196754 LWE196754:LWG196754 LMI196754:LMK196754 LCM196754:LCO196754 KSQ196754:KSS196754 KIU196754:KIW196754 JYY196754:JZA196754 JPC196754:JPE196754 JFG196754:JFI196754 IVK196754:IVM196754 ILO196754:ILQ196754 IBS196754:IBU196754 HRW196754:HRY196754 HIA196754:HIC196754 GYE196754:GYG196754 GOI196754:GOK196754 GEM196754:GEO196754 FUQ196754:FUS196754 FKU196754:FKW196754 FAY196754:FBA196754 ERC196754:ERE196754 EHG196754:EHI196754 DXK196754:DXM196754 DNO196754:DNQ196754 DDS196754:DDU196754 CTW196754:CTY196754 CKA196754:CKC196754 CAE196754:CAG196754 BQI196754:BQK196754 BGM196754:BGO196754 AWQ196754:AWS196754 AMU196754:AMW196754 ACY196754:ADA196754 TC196754:TE196754 JG196754:JI196754 K196754:M196754 WVS131218:WVU131218 WLW131218:WLY131218 WCA131218:WCC131218 VSE131218:VSG131218 VII131218:VIK131218 UYM131218:UYO131218 UOQ131218:UOS131218 UEU131218:UEW131218 TUY131218:TVA131218 TLC131218:TLE131218 TBG131218:TBI131218 SRK131218:SRM131218 SHO131218:SHQ131218 RXS131218:RXU131218 RNW131218:RNY131218 REA131218:REC131218 QUE131218:QUG131218 QKI131218:QKK131218 QAM131218:QAO131218 PQQ131218:PQS131218 PGU131218:PGW131218 OWY131218:OXA131218 ONC131218:ONE131218 ODG131218:ODI131218 NTK131218:NTM131218 NJO131218:NJQ131218 MZS131218:MZU131218 MPW131218:MPY131218 MGA131218:MGC131218 LWE131218:LWG131218 LMI131218:LMK131218 LCM131218:LCO131218 KSQ131218:KSS131218 KIU131218:KIW131218 JYY131218:JZA131218 JPC131218:JPE131218 JFG131218:JFI131218 IVK131218:IVM131218 ILO131218:ILQ131218 IBS131218:IBU131218 HRW131218:HRY131218 HIA131218:HIC131218 GYE131218:GYG131218 GOI131218:GOK131218 GEM131218:GEO131218 FUQ131218:FUS131218 FKU131218:FKW131218 FAY131218:FBA131218 ERC131218:ERE131218 EHG131218:EHI131218 DXK131218:DXM131218 DNO131218:DNQ131218 DDS131218:DDU131218 CTW131218:CTY131218 CKA131218:CKC131218 CAE131218:CAG131218 BQI131218:BQK131218 BGM131218:BGO131218 AWQ131218:AWS131218 AMU131218:AMW131218 ACY131218:ADA131218 TC131218:TE131218 JG131218:JI131218 K131218:M131218 WVS65682:WVU65682 WLW65682:WLY65682 WCA65682:WCC65682 VSE65682:VSG65682 VII65682:VIK65682 UYM65682:UYO65682 UOQ65682:UOS65682 UEU65682:UEW65682 TUY65682:TVA65682 TLC65682:TLE65682 TBG65682:TBI65682 SRK65682:SRM65682 SHO65682:SHQ65682 RXS65682:RXU65682 RNW65682:RNY65682 REA65682:REC65682 QUE65682:QUG65682 QKI65682:QKK65682 QAM65682:QAO65682 PQQ65682:PQS65682 PGU65682:PGW65682 OWY65682:OXA65682 ONC65682:ONE65682 ODG65682:ODI65682 NTK65682:NTM65682 NJO65682:NJQ65682 MZS65682:MZU65682 MPW65682:MPY65682 MGA65682:MGC65682 LWE65682:LWG65682 LMI65682:LMK65682 LCM65682:LCO65682 KSQ65682:KSS65682 KIU65682:KIW65682 JYY65682:JZA65682 JPC65682:JPE65682 JFG65682:JFI65682 IVK65682:IVM65682 ILO65682:ILQ65682 IBS65682:IBU65682 HRW65682:HRY65682 HIA65682:HIC65682 GYE65682:GYG65682 GOI65682:GOK65682 GEM65682:GEO65682 FUQ65682:FUS65682 FKU65682:FKW65682 FAY65682:FBA65682 ERC65682:ERE65682 EHG65682:EHI65682 DXK65682:DXM65682 DNO65682:DNQ65682 DDS65682:DDU65682 CTW65682:CTY65682 CKA65682:CKC65682 CAE65682:CAG65682 BQI65682:BQK65682 BGM65682:BGO65682 AWQ65682:AWS65682 AMU65682:AMW65682 ACY65682:ADA65682 TC65682:TE65682 JG65682:JI65682 K65682:M65682 WVS146:WVU146 WLW146:WLY146 WCA146:WCC146 VSE146:VSG146 VII146:VIK146 UYM146:UYO146 UOQ146:UOS146 UEU146:UEW146 TUY146:TVA146 TLC146:TLE146 TBG146:TBI146 SRK146:SRM146 SHO146:SHQ146 RXS146:RXU146 RNW146:RNY146 REA146:REC146 QUE146:QUG146 QKI146:QKK146 QAM146:QAO146 PQQ146:PQS146 PGU146:PGW146 OWY146:OXA146 ONC146:ONE146 ODG146:ODI146 NTK146:NTM146 NJO146:NJQ146 MZS146:MZU146 MPW146:MPY146 MGA146:MGC146 LWE146:LWG146 LMI146:LMK146 LCM146:LCO146 KSQ146:KSS146 KIU146:KIW146 JYY146:JZA146 JPC146:JPE146 JFG146:JFI146 IVK146:IVM146 ILO146:ILQ146 IBS146:IBU146 HRW146:HRY146 HIA146:HIC146 GYE146:GYG146 GOI146:GOK146 GEM146:GEO146 FUQ146:FUS146 FKU146:FKW146 FAY146:FBA146 ERC146:ERE146 EHG146:EHI146 DXK146:DXM146 DNO146:DNQ146 DDS146:DDU146 CTW146:CTY146 CKA146:CKC146 CAE146:CAG146 BQI146:BQK146 BGM146:BGO146 AWQ146:AWS146 AMU146:AMW146 ACY146:ADA146 TC146:TE146 JG146:JI146" xr:uid="{00000000-0002-0000-0100-000000000000}">
      <formula1>$S$9:$S$10</formula1>
    </dataValidation>
  </dataValidations>
  <pageMargins left="0.78740157480314965" right="0.39370078740157483" top="0.19685039370078741" bottom="0.19685039370078741" header="0.39370078740157483" footer="0.39370078740157483"/>
  <pageSetup paperSize="9" scale="54" fitToHeight="2" orientation="portrait" horizontalDpi="180" verticalDpi="180" r:id="rId1"/>
  <headerFooter alignWithMargins="0"/>
  <rowBreaks count="2" manualBreakCount="2">
    <brk id="74" max="13" man="1"/>
    <brk id="137" max="13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>
              <from>
                <xdr:col>0</xdr:col>
                <xdr:colOff>76200</xdr:colOff>
                <xdr:row>1</xdr:row>
                <xdr:rowOff>123825</xdr:rowOff>
              </from>
              <to>
                <xdr:col>2</xdr:col>
                <xdr:colOff>95250</xdr:colOff>
                <xdr:row>3</xdr:row>
                <xdr:rowOff>161925</xdr:rowOff>
              </to>
            </anchor>
          </objectPr>
        </oleObject>
      </mc:Choice>
      <mc:Fallback>
        <oleObject progId="Word.Picture.8" shapeId="2049" r:id="rId4"/>
      </mc:Fallback>
    </mc:AlternateContent>
    <mc:AlternateContent xmlns:mc="http://schemas.openxmlformats.org/markup-compatibility/2006">
      <mc:Choice Requires="x14">
        <oleObject progId="Word.Picture.8" shapeId="2050" r:id="rId6">
          <objectPr defaultSize="0" autoPict="0" r:id="rId5">
            <anchor moveWithCells="1">
              <from>
                <xdr:col>0</xdr:col>
                <xdr:colOff>19050</xdr:colOff>
                <xdr:row>75</xdr:row>
                <xdr:rowOff>133350</xdr:rowOff>
              </from>
              <to>
                <xdr:col>1</xdr:col>
                <xdr:colOff>533400</xdr:colOff>
                <xdr:row>77</xdr:row>
                <xdr:rowOff>85725</xdr:rowOff>
              </to>
            </anchor>
          </objectPr>
        </oleObject>
      </mc:Choice>
      <mc:Fallback>
        <oleObject progId="Word.Picture.8" shapeId="2050" r:id="rId6"/>
      </mc:Fallback>
    </mc:AlternateContent>
    <mc:AlternateContent xmlns:mc="http://schemas.openxmlformats.org/markup-compatibility/2006">
      <mc:Choice Requires="x14">
        <oleObject progId="Word.Picture.8" shapeId="2051" r:id="rId7">
          <objectPr defaultSize="0" autoPict="0" r:id="rId5">
            <anchor moveWithCells="1">
              <from>
                <xdr:col>0</xdr:col>
                <xdr:colOff>66675</xdr:colOff>
                <xdr:row>75</xdr:row>
                <xdr:rowOff>38100</xdr:rowOff>
              </from>
              <to>
                <xdr:col>2</xdr:col>
                <xdr:colOff>85725</xdr:colOff>
                <xdr:row>77</xdr:row>
                <xdr:rowOff>85725</xdr:rowOff>
              </to>
            </anchor>
          </objectPr>
        </oleObject>
      </mc:Choice>
      <mc:Fallback>
        <oleObject progId="Word.Picture.8" shapeId="2051" r:id="rId7"/>
      </mc:Fallback>
    </mc:AlternateContent>
    <mc:AlternateContent xmlns:mc="http://schemas.openxmlformats.org/markup-compatibility/2006">
      <mc:Choice Requires="x14">
        <oleObject progId="Word.Picture.8" shapeId="2053" r:id="rId8">
          <objectPr defaultSize="0" autoPict="0" r:id="rId5">
            <anchor moveWithCells="1">
              <from>
                <xdr:col>0</xdr:col>
                <xdr:colOff>247650</xdr:colOff>
                <xdr:row>138</xdr:row>
                <xdr:rowOff>76200</xdr:rowOff>
              </from>
              <to>
                <xdr:col>2</xdr:col>
                <xdr:colOff>219075</xdr:colOff>
                <xdr:row>140</xdr:row>
                <xdr:rowOff>123825</xdr:rowOff>
              </to>
            </anchor>
          </objectPr>
        </oleObject>
      </mc:Choice>
      <mc:Fallback>
        <oleObject progId="Word.Picture.8" shapeId="2053" r:id="rId8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9" name="Drop Down 4">
              <controlPr defaultSize="0" autoLine="0" autoPict="0">
                <anchor>
                  <from>
                    <xdr:col>2</xdr:col>
                    <xdr:colOff>342900</xdr:colOff>
                    <xdr:row>9</xdr:row>
                    <xdr:rowOff>19050</xdr:rowOff>
                  </from>
                  <to>
                    <xdr:col>3</xdr:col>
                    <xdr:colOff>476250</xdr:colOff>
                    <xdr:row>10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D122"/>
  <sheetViews>
    <sheetView showZeros="0" zoomScaleNormal="100" zoomScaleSheetLayoutView="72" workbookViewId="0">
      <selection activeCell="O34" sqref="O34"/>
    </sheetView>
  </sheetViews>
  <sheetFormatPr defaultColWidth="16" defaultRowHeight="15" customHeight="1"/>
  <cols>
    <col min="1" max="1" width="16" style="233" customWidth="1"/>
    <col min="2" max="8" width="16" style="284" customWidth="1"/>
    <col min="9" max="9" width="16" style="285" customWidth="1"/>
    <col min="10" max="16384" width="16" style="233"/>
  </cols>
  <sheetData>
    <row r="1" spans="1:29" ht="16.5" customHeight="1">
      <c r="A1" s="228"/>
      <c r="B1" s="229"/>
      <c r="C1" s="230"/>
      <c r="D1" s="229"/>
      <c r="E1" s="229"/>
      <c r="F1" s="229"/>
      <c r="G1" s="229"/>
      <c r="H1" s="229"/>
      <c r="I1" s="229"/>
      <c r="J1" s="231"/>
      <c r="K1" s="231"/>
      <c r="L1" s="229"/>
      <c r="M1" s="232"/>
      <c r="N1" s="229"/>
      <c r="O1" s="232"/>
    </row>
    <row r="2" spans="1:29" ht="16.5" customHeight="1">
      <c r="A2" s="234"/>
      <c r="B2" s="235"/>
      <c r="C2" s="236"/>
      <c r="D2" s="235"/>
      <c r="E2" s="237"/>
      <c r="F2" s="237"/>
      <c r="G2" s="235"/>
      <c r="H2" s="235" t="str">
        <f>RESUM!G2</f>
        <v>MAC QT 315 L</v>
      </c>
      <c r="I2" s="235"/>
      <c r="L2" s="238"/>
      <c r="M2" s="239"/>
      <c r="N2" s="238"/>
      <c r="O2" s="239"/>
    </row>
    <row r="3" spans="1:29" ht="16.5" customHeight="1">
      <c r="A3" s="234"/>
      <c r="B3" s="237"/>
      <c r="C3" s="240"/>
      <c r="D3" s="237"/>
      <c r="E3" s="237"/>
      <c r="F3" s="237"/>
      <c r="G3" s="237"/>
      <c r="H3" s="237"/>
      <c r="I3" s="237"/>
      <c r="L3" s="238"/>
      <c r="M3" s="461"/>
      <c r="N3" s="238"/>
      <c r="O3" s="461"/>
    </row>
    <row r="4" spans="1:29" ht="16.5" customHeight="1">
      <c r="A4" s="234"/>
      <c r="B4" s="241"/>
      <c r="C4" s="242"/>
      <c r="D4" s="241"/>
      <c r="E4" s="237"/>
      <c r="F4" s="237"/>
      <c r="G4" s="241"/>
      <c r="H4" s="241" t="s">
        <v>143</v>
      </c>
      <c r="I4" s="241"/>
      <c r="L4" s="238"/>
      <c r="M4" s="239"/>
      <c r="N4" s="238"/>
      <c r="O4" s="239"/>
    </row>
    <row r="5" spans="1:29" ht="16.5" customHeight="1">
      <c r="A5" s="234"/>
      <c r="B5" s="237"/>
      <c r="C5" s="240"/>
      <c r="D5" s="237"/>
      <c r="E5" s="237"/>
      <c r="F5" s="237"/>
      <c r="G5" s="237"/>
      <c r="H5" s="237"/>
      <c r="I5" s="237"/>
      <c r="L5" s="238"/>
      <c r="M5" s="243"/>
      <c r="N5" s="238" t="s">
        <v>144</v>
      </c>
      <c r="O5" s="243">
        <f>RESUM!O5</f>
        <v>45239</v>
      </c>
    </row>
    <row r="6" spans="1:29" ht="16.5" customHeight="1" thickBot="1">
      <c r="A6" s="244"/>
      <c r="B6" s="245"/>
      <c r="C6" s="246"/>
      <c r="D6" s="245"/>
      <c r="E6" s="245"/>
      <c r="F6" s="245"/>
      <c r="G6" s="245"/>
      <c r="H6" s="245"/>
      <c r="I6" s="245"/>
      <c r="J6" s="247"/>
      <c r="K6" s="247"/>
      <c r="L6" s="245"/>
      <c r="M6" s="248"/>
      <c r="N6" s="245"/>
      <c r="O6" s="248"/>
    </row>
    <row r="7" spans="1:29" s="253" customFormat="1" ht="16.5" customHeight="1">
      <c r="A7" s="249"/>
      <c r="B7" s="250"/>
      <c r="C7" s="250"/>
      <c r="D7" s="250"/>
      <c r="E7" s="250"/>
      <c r="F7" s="250"/>
      <c r="G7" s="250"/>
      <c r="H7" s="250"/>
      <c r="I7" s="251"/>
      <c r="J7" s="250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Y7" s="252"/>
      <c r="Z7" s="252"/>
      <c r="AA7" s="252"/>
      <c r="AB7" s="252"/>
      <c r="AC7" s="252"/>
    </row>
    <row r="8" spans="1:29" ht="16.5" customHeight="1">
      <c r="A8" s="259"/>
      <c r="B8" s="255" t="str">
        <f>RESUM!B8</f>
        <v>MAC QT 315 L</v>
      </c>
      <c r="C8" s="255" t="str">
        <f>RESUM!C8</f>
        <v>MAC QI 315 L</v>
      </c>
      <c r="D8" s="255" t="str">
        <f>RESUM!D8</f>
        <v>MAC QI 315 L</v>
      </c>
      <c r="E8" s="255" t="str">
        <f>RESUM!E8</f>
        <v>MAC QI 315 L</v>
      </c>
      <c r="F8" s="255" t="str">
        <f>RESUM!F8</f>
        <v>MAC QI 315 L</v>
      </c>
      <c r="G8" s="255" t="str">
        <f>RESUM!G8</f>
        <v>MAC QI 315 L</v>
      </c>
      <c r="H8" s="255" t="str">
        <f>RESUM!H8</f>
        <v>MAC QI 315 L</v>
      </c>
      <c r="I8" s="255" t="str">
        <f>RESUM!I8</f>
        <v>MAC QI 315 L</v>
      </c>
      <c r="J8" s="255" t="str">
        <f>RESUM!J8</f>
        <v>MAC QI 315 L</v>
      </c>
      <c r="K8" s="255" t="str">
        <f>RESUM!K8</f>
        <v>MAC QI 315 L</v>
      </c>
      <c r="L8" s="405">
        <f>RESUM!L8</f>
        <v>0</v>
      </c>
      <c r="M8" s="405">
        <f>RESUM!M8</f>
        <v>0</v>
      </c>
      <c r="N8" s="405">
        <f>RESUM!N8</f>
        <v>0</v>
      </c>
      <c r="O8" s="405">
        <f>RESUM!O8</f>
        <v>0</v>
      </c>
    </row>
    <row r="9" spans="1:29" s="257" customFormat="1" ht="16.5" customHeight="1">
      <c r="A9" s="256"/>
      <c r="B9" s="384" t="str">
        <f>RESUM!B9</f>
        <v>A61</v>
      </c>
      <c r="C9" s="384" t="str">
        <f>RESUM!C9</f>
        <v>B61</v>
      </c>
      <c r="D9" s="384" t="str">
        <f>RESUM!D9</f>
        <v>C61</v>
      </c>
      <c r="E9" s="384" t="str">
        <f>RESUM!E9</f>
        <v>D61</v>
      </c>
      <c r="F9" s="384" t="str">
        <f>RESUM!F9</f>
        <v>E61</v>
      </c>
      <c r="G9" s="384" t="str">
        <f>RESUM!G9</f>
        <v>F61</v>
      </c>
      <c r="H9" s="384" t="str">
        <f>RESUM!H9</f>
        <v>C62</v>
      </c>
      <c r="I9" s="384" t="str">
        <f>RESUM!I9</f>
        <v>D62</v>
      </c>
      <c r="J9" s="384" t="str">
        <f>RESUM!J9</f>
        <v>E62</v>
      </c>
      <c r="K9" s="384" t="str">
        <f>RESUM!K9</f>
        <v>F62</v>
      </c>
      <c r="L9" s="406">
        <f>RESUM!L9</f>
        <v>0</v>
      </c>
      <c r="M9" s="406">
        <f>RESUM!M9</f>
        <v>0</v>
      </c>
      <c r="N9" s="406">
        <f>RESUM!N9</f>
        <v>0</v>
      </c>
      <c r="O9" s="406">
        <f>RESUM!O9</f>
        <v>0</v>
      </c>
      <c r="P9" s="233"/>
      <c r="Q9" s="233"/>
      <c r="R9" s="233"/>
      <c r="S9" s="233"/>
      <c r="T9" s="233"/>
      <c r="U9" s="233"/>
      <c r="V9" s="233"/>
      <c r="W9" s="233"/>
      <c r="X9" s="233"/>
      <c r="Y9" s="233"/>
      <c r="Z9" s="233"/>
      <c r="AA9" s="233"/>
      <c r="AB9" s="233"/>
      <c r="AC9" s="233"/>
    </row>
    <row r="10" spans="1:29" ht="16.5" customHeight="1">
      <c r="A10" s="292" t="s">
        <v>145</v>
      </c>
      <c r="B10" s="258">
        <f>RESUM!B10</f>
        <v>6</v>
      </c>
      <c r="C10" s="258">
        <f>RESUM!C10</f>
        <v>6</v>
      </c>
      <c r="D10" s="258">
        <f>RESUM!D10</f>
        <v>6</v>
      </c>
      <c r="E10" s="385">
        <f>RESUM!E10</f>
        <v>6</v>
      </c>
      <c r="F10" s="258">
        <f>RESUM!F10</f>
        <v>6</v>
      </c>
      <c r="G10" s="258">
        <f>RESUM!G10</f>
        <v>6</v>
      </c>
      <c r="H10" s="258">
        <f>RESUM!H10</f>
        <v>6</v>
      </c>
      <c r="I10" s="258">
        <f>RESUM!I10</f>
        <v>6</v>
      </c>
      <c r="J10" s="258">
        <f>RESUM!J10</f>
        <v>6</v>
      </c>
      <c r="K10" s="258">
        <f>RESUM!K10</f>
        <v>6</v>
      </c>
      <c r="L10" s="407">
        <f>RESUM!L10</f>
        <v>6</v>
      </c>
      <c r="M10" s="407">
        <f>RESUM!M10</f>
        <v>6</v>
      </c>
      <c r="N10" s="407">
        <f>RESUM!N10</f>
        <v>6</v>
      </c>
      <c r="O10" s="407">
        <f>RESUM!O10</f>
        <v>6</v>
      </c>
      <c r="T10" s="283"/>
      <c r="U10" s="283"/>
      <c r="V10" s="283"/>
      <c r="W10" s="283"/>
    </row>
    <row r="11" spans="1:29" s="261" customFormat="1" ht="16.5" customHeight="1">
      <c r="A11" s="393" t="s">
        <v>79</v>
      </c>
      <c r="B11" s="260">
        <f>RESUM!B11</f>
        <v>6200</v>
      </c>
      <c r="C11" s="260">
        <f>RESUM!C11</f>
        <v>6200</v>
      </c>
      <c r="D11" s="260">
        <f>RESUM!D11</f>
        <v>6200</v>
      </c>
      <c r="E11" s="386">
        <f>RESUM!E11</f>
        <v>6200</v>
      </c>
      <c r="F11" s="260">
        <f>RESUM!F11</f>
        <v>6200</v>
      </c>
      <c r="G11" s="260">
        <f>RESUM!G11</f>
        <v>6200</v>
      </c>
      <c r="H11" s="260">
        <f>RESUM!H11</f>
        <v>6200</v>
      </c>
      <c r="I11" s="260">
        <f>RESUM!I11</f>
        <v>5900</v>
      </c>
      <c r="J11" s="260">
        <f>RESUM!J11</f>
        <v>5600</v>
      </c>
      <c r="K11" s="260">
        <f>RESUM!K11</f>
        <v>5200</v>
      </c>
      <c r="L11" s="408">
        <f>RESUM!L11</f>
        <v>0</v>
      </c>
      <c r="M11" s="408">
        <f>RESUM!M11</f>
        <v>0</v>
      </c>
      <c r="N11" s="408">
        <f>RESUM!N11</f>
        <v>0</v>
      </c>
      <c r="O11" s="408">
        <f>RESUM!O11</f>
        <v>0</v>
      </c>
      <c r="P11" s="233"/>
      <c r="Q11" s="233"/>
      <c r="R11" s="233"/>
      <c r="S11" s="233"/>
      <c r="T11" s="283"/>
      <c r="U11" s="283"/>
      <c r="V11" s="283"/>
      <c r="W11" s="283"/>
      <c r="X11" s="233"/>
      <c r="Y11" s="233"/>
      <c r="Z11" s="233"/>
      <c r="AA11" s="233"/>
      <c r="AB11" s="233"/>
      <c r="AC11" s="233"/>
    </row>
    <row r="12" spans="1:29" ht="16.5" customHeight="1">
      <c r="A12" s="234" t="s">
        <v>82</v>
      </c>
      <c r="B12" s="262">
        <f>'driving mode datasheet'!E27</f>
        <v>437.58</v>
      </c>
      <c r="C12" s="262">
        <f>'driving mode datasheet'!E28</f>
        <v>487.44</v>
      </c>
      <c r="D12" s="262">
        <f>'driving mode datasheet'!E29</f>
        <v>537.85599999999999</v>
      </c>
      <c r="E12" s="387">
        <f>'driving mode datasheet'!E30</f>
        <v>612.75</v>
      </c>
      <c r="F12" s="262">
        <f>'driving mode datasheet'!E31</f>
        <v>712.47199999999998</v>
      </c>
      <c r="G12" s="262">
        <f>'driving mode datasheet'!E32</f>
        <v>837.48800000000006</v>
      </c>
      <c r="H12" s="262">
        <f>'driving mode datasheet'!E33</f>
        <v>962.91</v>
      </c>
      <c r="I12" s="262">
        <f>'driving mode datasheet'!E34</f>
        <v>1088.56</v>
      </c>
      <c r="J12" s="262">
        <f>'driving mode datasheet'!E35</f>
        <v>1263.9839999999999</v>
      </c>
      <c r="K12" s="262">
        <f>'driving mode datasheet'!E36</f>
        <v>1489.8</v>
      </c>
      <c r="L12" s="409">
        <f>'driving mode datasheet'!E37</f>
        <v>0</v>
      </c>
      <c r="M12" s="409">
        <f>'driving mode datasheet'!E38</f>
        <v>0</v>
      </c>
      <c r="N12" s="409">
        <f>'driving mode datasheet'!E39</f>
        <v>0</v>
      </c>
      <c r="O12" s="409">
        <f>'driving mode datasheet'!E40</f>
        <v>0</v>
      </c>
      <c r="T12" s="283"/>
      <c r="U12" s="567">
        <f>RESUM!C10</f>
        <v>6</v>
      </c>
      <c r="V12" s="567">
        <f>RESUM!D10</f>
        <v>6</v>
      </c>
      <c r="W12" s="283"/>
    </row>
    <row r="13" spans="1:29" s="266" customFormat="1" ht="16.5" customHeight="1">
      <c r="A13" s="394" t="s">
        <v>81</v>
      </c>
      <c r="B13" s="264">
        <f>B11*B12*PI()/30000</f>
        <v>284.10427676061647</v>
      </c>
      <c r="C13" s="264">
        <f t="shared" ref="C13:K13" si="0">C11*C12*PI()/30000</f>
        <v>316.47650410026716</v>
      </c>
      <c r="D13" s="264">
        <f t="shared" si="0"/>
        <v>349.20972137976628</v>
      </c>
      <c r="E13" s="388">
        <f t="shared" si="0"/>
        <v>397.83558568734344</v>
      </c>
      <c r="F13" s="264">
        <f t="shared" si="0"/>
        <v>462.5813388916082</v>
      </c>
      <c r="G13" s="264">
        <f t="shared" si="0"/>
        <v>543.74953730905247</v>
      </c>
      <c r="H13" s="264">
        <f t="shared" si="0"/>
        <v>625.18133629408385</v>
      </c>
      <c r="I13" s="264">
        <f t="shared" si="0"/>
        <v>672.56304613503539</v>
      </c>
      <c r="J13" s="264">
        <f t="shared" si="0"/>
        <v>741.2389317489409</v>
      </c>
      <c r="K13" s="264">
        <f t="shared" si="0"/>
        <v>811.25975412179935</v>
      </c>
      <c r="L13" s="410">
        <f>L11*L12*PI()/30000</f>
        <v>0</v>
      </c>
      <c r="M13" s="410">
        <f>M11*M12*PI()/30000</f>
        <v>0</v>
      </c>
      <c r="N13" s="410">
        <f>N11*N12*PI()/30000</f>
        <v>0</v>
      </c>
      <c r="O13" s="410">
        <f>O11*O12*PI()/30000</f>
        <v>0</v>
      </c>
      <c r="P13" s="265"/>
      <c r="Q13" s="265"/>
      <c r="R13" s="265"/>
      <c r="S13" s="265"/>
      <c r="T13" s="568"/>
      <c r="U13" s="568"/>
      <c r="V13" s="568"/>
      <c r="W13" s="568"/>
      <c r="X13" s="265"/>
      <c r="Y13" s="265"/>
      <c r="Z13" s="265"/>
      <c r="AA13" s="265"/>
      <c r="AB13" s="265"/>
      <c r="AC13" s="265"/>
    </row>
    <row r="14" spans="1:29" s="261" customFormat="1" ht="16.5" customHeight="1">
      <c r="A14" s="393" t="s">
        <v>130</v>
      </c>
      <c r="B14" s="260">
        <f>'driving mode datasheet'!F21</f>
        <v>500</v>
      </c>
      <c r="C14" s="260">
        <f>B14</f>
        <v>500</v>
      </c>
      <c r="D14" s="260">
        <f t="shared" ref="D14:M14" si="1">C14</f>
        <v>500</v>
      </c>
      <c r="E14" s="386">
        <f t="shared" si="1"/>
        <v>500</v>
      </c>
      <c r="F14" s="260">
        <f t="shared" si="1"/>
        <v>500</v>
      </c>
      <c r="G14" s="260">
        <f t="shared" si="1"/>
        <v>500</v>
      </c>
      <c r="H14" s="260">
        <f t="shared" si="1"/>
        <v>500</v>
      </c>
      <c r="I14" s="260">
        <f t="shared" si="1"/>
        <v>500</v>
      </c>
      <c r="J14" s="260">
        <f t="shared" si="1"/>
        <v>500</v>
      </c>
      <c r="K14" s="260">
        <f t="shared" si="1"/>
        <v>500</v>
      </c>
      <c r="L14" s="408">
        <f t="shared" si="1"/>
        <v>500</v>
      </c>
      <c r="M14" s="408">
        <f t="shared" si="1"/>
        <v>500</v>
      </c>
      <c r="N14" s="408">
        <f t="shared" ref="N14" si="2">M14</f>
        <v>500</v>
      </c>
      <c r="O14" s="408">
        <f t="shared" ref="O14" si="3">N14</f>
        <v>500</v>
      </c>
      <c r="P14" s="233"/>
      <c r="Q14" s="233"/>
      <c r="R14" s="233"/>
      <c r="S14" s="233"/>
      <c r="T14" s="283"/>
      <c r="U14" s="283"/>
      <c r="V14" s="283"/>
      <c r="W14" s="283"/>
      <c r="X14" s="233"/>
      <c r="Y14" s="233"/>
      <c r="Z14" s="233"/>
      <c r="AA14" s="233"/>
      <c r="AB14" s="233"/>
      <c r="AC14" s="233"/>
    </row>
    <row r="15" spans="1:29" s="265" customFormat="1" ht="16.5" customHeight="1">
      <c r="A15" s="395" t="s">
        <v>35</v>
      </c>
      <c r="B15" s="268">
        <f>RESUM!B15</f>
        <v>423.59939306151637</v>
      </c>
      <c r="C15" s="268">
        <f>RESUM!C15</f>
        <v>466.18115901583298</v>
      </c>
      <c r="D15" s="268">
        <f>RESUM!D15</f>
        <v>515.66082283735523</v>
      </c>
      <c r="E15" s="389">
        <f>RESUM!E15</f>
        <v>580.25100352450102</v>
      </c>
      <c r="F15" s="268">
        <f>RESUM!F15</f>
        <v>666.63123576024145</v>
      </c>
      <c r="G15" s="268">
        <f>RESUM!G15</f>
        <v>777.67118882433817</v>
      </c>
      <c r="H15" s="268">
        <f>RESUM!H15</f>
        <v>891.29533660212417</v>
      </c>
      <c r="I15" s="268">
        <f>RESUM!I15</f>
        <v>960.36102722584099</v>
      </c>
      <c r="J15" s="268">
        <f>RESUM!J15</f>
        <v>1055.7431057766598</v>
      </c>
      <c r="K15" s="268">
        <f>RESUM!K15</f>
        <v>1158.8952418262465</v>
      </c>
      <c r="L15" s="411">
        <f>RESUM!L15</f>
        <v>0</v>
      </c>
      <c r="M15" s="411">
        <f>RESUM!M15</f>
        <v>0</v>
      </c>
      <c r="N15" s="411">
        <f>RESUM!N15</f>
        <v>0</v>
      </c>
      <c r="O15" s="411">
        <f>RESUM!O15</f>
        <v>0</v>
      </c>
    </row>
    <row r="16" spans="1:29" ht="16.5" customHeight="1">
      <c r="A16" s="254" t="s">
        <v>83</v>
      </c>
      <c r="B16" s="268">
        <f>'driving mode datasheet'!F27</f>
        <v>22.5</v>
      </c>
      <c r="C16" s="268">
        <f>'driving mode datasheet'!F28</f>
        <v>25</v>
      </c>
      <c r="D16" s="268">
        <f>'driving mode datasheet'!F29</f>
        <v>27.5</v>
      </c>
      <c r="E16" s="268">
        <f>'driving mode datasheet'!F30</f>
        <v>31.25</v>
      </c>
      <c r="F16" s="268">
        <f>'driving mode datasheet'!F31</f>
        <v>36.25</v>
      </c>
      <c r="G16" s="268">
        <f>'driving mode datasheet'!F32</f>
        <v>42.5</v>
      </c>
      <c r="H16" s="268">
        <f>'driving mode datasheet'!F33</f>
        <v>48.75</v>
      </c>
      <c r="I16" s="268">
        <f>'driving mode datasheet'!F34</f>
        <v>55</v>
      </c>
      <c r="J16" s="268">
        <f>'driving mode datasheet'!F35</f>
        <v>63.75</v>
      </c>
      <c r="K16" s="268">
        <f>'driving mode datasheet'!F36</f>
        <v>75</v>
      </c>
      <c r="L16" s="411">
        <f>'driving mode datasheet'!F37</f>
        <v>0</v>
      </c>
      <c r="M16" s="411">
        <f>'driving mode datasheet'!F38</f>
        <v>0</v>
      </c>
      <c r="N16" s="411">
        <f>'driving mode datasheet'!F39</f>
        <v>0</v>
      </c>
      <c r="O16" s="411">
        <f>'driving mode datasheet'!F40</f>
        <v>0</v>
      </c>
    </row>
    <row r="17" spans="1:29" ht="16.5" customHeight="1">
      <c r="A17" s="254" t="s">
        <v>133</v>
      </c>
      <c r="B17" s="269">
        <f>B13/B18*1000/B14/B15/3^0.5</f>
        <v>0.83819681522193312</v>
      </c>
      <c r="C17" s="269">
        <f t="shared" ref="C17:K17" si="4">C13/C18*1000/C14/C15/3^0.5</f>
        <v>0.84301611832824452</v>
      </c>
      <c r="D17" s="269">
        <f t="shared" si="4"/>
        <v>0.83604344993010016</v>
      </c>
      <c r="E17" s="269">
        <f t="shared" si="4"/>
        <v>0.84111598360676731</v>
      </c>
      <c r="F17" s="269">
        <f t="shared" si="4"/>
        <v>0.8463909812100231</v>
      </c>
      <c r="G17" s="269">
        <f t="shared" si="4"/>
        <v>0.84778747419475275</v>
      </c>
      <c r="H17" s="269">
        <f t="shared" si="4"/>
        <v>0.84717507549274329</v>
      </c>
      <c r="I17" s="269">
        <f t="shared" si="4"/>
        <v>0.84311159278672121</v>
      </c>
      <c r="J17" s="269">
        <f t="shared" si="4"/>
        <v>0.8430716423673883</v>
      </c>
      <c r="K17" s="269">
        <f t="shared" si="4"/>
        <v>0.83904486076738571</v>
      </c>
      <c r="L17" s="412" t="e">
        <f>L13/L18*1000/L14/L15/3^0.5</f>
        <v>#DIV/0!</v>
      </c>
      <c r="M17" s="412" t="e">
        <f>M13/M18*1000/M14/M15/3^0.5</f>
        <v>#DIV/0!</v>
      </c>
      <c r="N17" s="412" t="e">
        <f>N13/N18*1000/N14/N15/3^0.5</f>
        <v>#DIV/0!</v>
      </c>
      <c r="O17" s="412" t="e">
        <f>O13/O18*1000/O14/O15/3^0.5</f>
        <v>#DIV/0!</v>
      </c>
    </row>
    <row r="18" spans="1:29" s="257" customFormat="1" ht="16.5" customHeight="1">
      <c r="A18" s="256" t="s">
        <v>146</v>
      </c>
      <c r="B18" s="270">
        <f>B13*1000/(B13*1000+3*B23/1000*B15^2+3*B24/1000*(B15^2-B32^2)+3*(2*PI()*B16*B28/1000*B32)^2/B25)</f>
        <v>0.92394432897304957</v>
      </c>
      <c r="C18" s="270">
        <f t="shared" ref="C18:K18" si="5">C13*1000/(C13*1000+3*C23/1000*C15^2+3*C24/1000*(C15^2-C32^2)+3*(2*PI()*C16*C28/1000*C32)^2/C25)</f>
        <v>0.92986573663604488</v>
      </c>
      <c r="D18" s="270">
        <f t="shared" si="5"/>
        <v>0.93532535513537984</v>
      </c>
      <c r="E18" s="270">
        <f t="shared" si="5"/>
        <v>0.94124180842571759</v>
      </c>
      <c r="F18" s="270">
        <f t="shared" si="5"/>
        <v>0.94667474402770002</v>
      </c>
      <c r="G18" s="270">
        <f t="shared" si="5"/>
        <v>0.95232517130615568</v>
      </c>
      <c r="H18" s="270">
        <f t="shared" si="5"/>
        <v>0.95604991777154913</v>
      </c>
      <c r="I18" s="270">
        <f t="shared" si="5"/>
        <v>0.95914171851523145</v>
      </c>
      <c r="J18" s="270">
        <f t="shared" si="5"/>
        <v>0.96162302646533337</v>
      </c>
      <c r="K18" s="270">
        <f t="shared" si="5"/>
        <v>0.96338512963023193</v>
      </c>
      <c r="L18" s="413" t="e">
        <f>L13*1000/(L13*1000+3*L23/1000*L15^2+3*L24/1000*(L15^2-L32^2)+3*(2*PI()*L16*L28/1000*L32)^2/L25)</f>
        <v>#DIV/0!</v>
      </c>
      <c r="M18" s="413" t="e">
        <f>M13*1000/(M13*1000+3*M23/1000*M15^2+3*M24/1000*(M15^2-M32^2)+3*(2*PI()*M16*M28/1000*M32)^2/M25)</f>
        <v>#DIV/0!</v>
      </c>
      <c r="N18" s="413" t="e">
        <f>N13*1000/(N13*1000+3*N23/1000*N15^2+3*N24/1000*(N15^2-N32^2)+3*(2*PI()*N16*N28/1000*N32)^2/N25)</f>
        <v>#DIV/0!</v>
      </c>
      <c r="O18" s="413" t="e">
        <f>O13*1000/(O13*1000+3*O23/1000*O15^2+3*O24/1000*(O15^2-O32^2)+3*(2*PI()*O16*O28/1000*O32)^2/O25)</f>
        <v>#DIV/0!</v>
      </c>
      <c r="P18" s="233"/>
      <c r="Q18" s="233"/>
      <c r="R18" s="233"/>
      <c r="S18" s="233"/>
      <c r="T18" s="233"/>
      <c r="U18" s="233"/>
      <c r="V18" s="233"/>
      <c r="W18" s="233"/>
      <c r="X18" s="233"/>
      <c r="Y18" s="233"/>
      <c r="Z18" s="233"/>
      <c r="AA18" s="233"/>
      <c r="AB18" s="233"/>
      <c r="AC18" s="233"/>
    </row>
    <row r="19" spans="1:29" ht="16.5" customHeight="1">
      <c r="A19" s="254" t="s">
        <v>147</v>
      </c>
      <c r="B19" s="271">
        <f>RESUM!B19</f>
        <v>13.89</v>
      </c>
      <c r="C19" s="271">
        <f>RESUM!C19</f>
        <v>13.89</v>
      </c>
      <c r="D19" s="271">
        <f>RESUM!D19</f>
        <v>13.89</v>
      </c>
      <c r="E19" s="271">
        <f>RESUM!E19</f>
        <v>13.89</v>
      </c>
      <c r="F19" s="271">
        <f>RESUM!F19</f>
        <v>13.89</v>
      </c>
      <c r="G19" s="271">
        <f>RESUM!G19</f>
        <v>13.89</v>
      </c>
      <c r="H19" s="271">
        <f>RESUM!H19</f>
        <v>13.89</v>
      </c>
      <c r="I19" s="271">
        <f>RESUM!I19</f>
        <v>13.89</v>
      </c>
      <c r="J19" s="271">
        <f>RESUM!J19</f>
        <v>13.89</v>
      </c>
      <c r="K19" s="271">
        <f>RESUM!K19</f>
        <v>13.89</v>
      </c>
      <c r="L19" s="414">
        <f>RESUM!L19</f>
        <v>0</v>
      </c>
      <c r="M19" s="414">
        <f>RESUM!M19</f>
        <v>0</v>
      </c>
      <c r="N19" s="414">
        <f>RESUM!N19</f>
        <v>0</v>
      </c>
      <c r="O19" s="414">
        <f>RESUM!O19</f>
        <v>0</v>
      </c>
    </row>
    <row r="20" spans="1:29" s="253" customFormat="1" ht="16.5" customHeight="1">
      <c r="A20" s="272"/>
      <c r="B20" s="250" t="s">
        <v>183</v>
      </c>
      <c r="C20" s="273"/>
      <c r="D20" s="273"/>
      <c r="E20" s="273"/>
      <c r="F20" s="273"/>
      <c r="G20" s="273"/>
      <c r="H20" s="273"/>
      <c r="I20" s="273"/>
      <c r="J20" s="273"/>
      <c r="K20" s="273"/>
      <c r="L20" s="415"/>
      <c r="M20" s="415"/>
      <c r="N20" s="415"/>
      <c r="O20" s="415"/>
      <c r="P20" s="252"/>
      <c r="Q20" s="252"/>
      <c r="R20" s="252"/>
      <c r="S20" s="252"/>
      <c r="T20" s="252"/>
      <c r="U20" s="252"/>
      <c r="V20" s="252"/>
      <c r="W20" s="252"/>
      <c r="X20" s="252"/>
      <c r="Y20" s="252"/>
      <c r="Z20" s="252"/>
      <c r="AA20" s="252"/>
      <c r="AB20" s="252"/>
      <c r="AC20" s="252"/>
    </row>
    <row r="21" spans="1:29" s="261" customFormat="1" ht="16.5" customHeight="1">
      <c r="A21" s="259"/>
      <c r="B21" s="255" t="str">
        <f>RESUM!B21</f>
        <v>MAC QT 315 L</v>
      </c>
      <c r="C21" s="255" t="str">
        <f>RESUM!C21</f>
        <v>MAC QI 315 L</v>
      </c>
      <c r="D21" s="255" t="str">
        <f>RESUM!D21</f>
        <v>MAC QI 315 L</v>
      </c>
      <c r="E21" s="255" t="str">
        <f>RESUM!E21</f>
        <v>MAC QI 315 L</v>
      </c>
      <c r="F21" s="255" t="str">
        <f>RESUM!F21</f>
        <v>MAC QI 315 L</v>
      </c>
      <c r="G21" s="255" t="str">
        <f>RESUM!G21</f>
        <v>MAC QI 315 L</v>
      </c>
      <c r="H21" s="255" t="str">
        <f>RESUM!H21</f>
        <v>MAC QI 315 L</v>
      </c>
      <c r="I21" s="255" t="str">
        <f>RESUM!I21</f>
        <v>MAC QI 315 L</v>
      </c>
      <c r="J21" s="255" t="str">
        <f>RESUM!J21</f>
        <v>MAC QI 315 L</v>
      </c>
      <c r="K21" s="255" t="str">
        <f>RESUM!K21</f>
        <v>MAC QI 315 L</v>
      </c>
      <c r="L21" s="405">
        <f>RESUM!L21</f>
        <v>0</v>
      </c>
      <c r="M21" s="405">
        <f>RESUM!M21</f>
        <v>0</v>
      </c>
      <c r="N21" s="405">
        <f>RESUM!N21</f>
        <v>0</v>
      </c>
      <c r="O21" s="405">
        <f>RESUM!O21</f>
        <v>0</v>
      </c>
      <c r="P21" s="233"/>
      <c r="Q21" s="233"/>
      <c r="R21" s="233"/>
      <c r="S21" s="233"/>
      <c r="T21" s="233"/>
      <c r="U21" s="233"/>
      <c r="V21" s="233"/>
      <c r="W21" s="233"/>
      <c r="X21" s="233"/>
      <c r="Y21" s="233"/>
      <c r="Z21" s="233"/>
      <c r="AA21" s="233"/>
      <c r="AB21" s="233"/>
      <c r="AC21" s="233"/>
    </row>
    <row r="22" spans="1:29" s="257" customFormat="1" ht="16.5" customHeight="1">
      <c r="A22" s="256"/>
      <c r="B22" s="384" t="str">
        <f>RESUM!B22</f>
        <v>A61</v>
      </c>
      <c r="C22" s="384" t="str">
        <f>RESUM!C22</f>
        <v>B61</v>
      </c>
      <c r="D22" s="384" t="str">
        <f>RESUM!D22</f>
        <v>C61</v>
      </c>
      <c r="E22" s="384" t="str">
        <f>RESUM!E22</f>
        <v>D61</v>
      </c>
      <c r="F22" s="384" t="str">
        <f>RESUM!F22</f>
        <v>E61</v>
      </c>
      <c r="G22" s="384" t="str">
        <f>RESUM!G22</f>
        <v>F61</v>
      </c>
      <c r="H22" s="384" t="str">
        <f>RESUM!H22</f>
        <v>C62</v>
      </c>
      <c r="I22" s="384" t="str">
        <f>RESUM!I22</f>
        <v>D62</v>
      </c>
      <c r="J22" s="384" t="str">
        <f>RESUM!J22</f>
        <v>E62</v>
      </c>
      <c r="K22" s="384" t="str">
        <f>RESUM!K22</f>
        <v>F62</v>
      </c>
      <c r="L22" s="406">
        <f>RESUM!L22</f>
        <v>0</v>
      </c>
      <c r="M22" s="406">
        <f>RESUM!M22</f>
        <v>0</v>
      </c>
      <c r="N22" s="406">
        <f>RESUM!N22</f>
        <v>0</v>
      </c>
      <c r="O22" s="406">
        <f>RESUM!O22</f>
        <v>0</v>
      </c>
      <c r="P22" s="233"/>
      <c r="Q22" s="233"/>
      <c r="R22" s="233"/>
      <c r="S22" s="233"/>
      <c r="T22" s="233"/>
      <c r="U22" s="233"/>
      <c r="V22" s="233"/>
      <c r="W22" s="233"/>
      <c r="X22" s="233"/>
      <c r="Y22" s="233"/>
      <c r="Z22" s="233"/>
      <c r="AA22" s="233"/>
      <c r="AB22" s="233"/>
      <c r="AC22" s="233"/>
    </row>
    <row r="23" spans="1:29" s="261" customFormat="1" ht="16.5" customHeight="1">
      <c r="A23" s="259" t="s">
        <v>148</v>
      </c>
      <c r="B23" s="274">
        <f>RESUM!B23</f>
        <v>20.779778534682695</v>
      </c>
      <c r="C23" s="274">
        <f>RESUM!C23</f>
        <v>17.222349491438802</v>
      </c>
      <c r="D23" s="274">
        <f>RESUM!D23</f>
        <v>13.9828385388504</v>
      </c>
      <c r="E23" s="274">
        <f>RESUM!E23</f>
        <v>11.003619379536509</v>
      </c>
      <c r="F23" s="274">
        <f>RESUM!F23</f>
        <v>8.4492520937382363</v>
      </c>
      <c r="G23" s="274">
        <f>RESUM!G23</f>
        <v>6.0976267432573108</v>
      </c>
      <c r="H23" s="274">
        <f>RESUM!H23</f>
        <v>4.6609461796167979</v>
      </c>
      <c r="I23" s="274">
        <f>RESUM!I23</f>
        <v>3.667873126512168</v>
      </c>
      <c r="J23" s="274">
        <f>RESUM!J23</f>
        <v>2.8164173645794119</v>
      </c>
      <c r="K23" s="274">
        <f>RESUM!K23</f>
        <v>2.0325422477524375</v>
      </c>
      <c r="L23" s="416">
        <f>RESUM!L23</f>
        <v>0</v>
      </c>
      <c r="M23" s="416">
        <f>RESUM!M23</f>
        <v>0</v>
      </c>
      <c r="N23" s="416">
        <f>RESUM!N23</f>
        <v>0</v>
      </c>
      <c r="O23" s="416">
        <f>RESUM!O23</f>
        <v>0</v>
      </c>
      <c r="P23" s="233"/>
      <c r="Q23" s="233"/>
      <c r="R23" s="233"/>
      <c r="S23" s="233"/>
      <c r="T23" s="233"/>
      <c r="U23" s="233"/>
      <c r="V23" s="233"/>
      <c r="W23" s="233"/>
      <c r="X23" s="233"/>
      <c r="Y23" s="233"/>
      <c r="Z23" s="233"/>
      <c r="AA23" s="233"/>
      <c r="AB23" s="233"/>
      <c r="AC23" s="233"/>
    </row>
    <row r="24" spans="1:29" ht="16.5" customHeight="1">
      <c r="A24" s="254" t="s">
        <v>149</v>
      </c>
      <c r="B24" s="268">
        <f>RESUM!B24</f>
        <v>18.251806198430852</v>
      </c>
      <c r="C24" s="268">
        <f>RESUM!C24</f>
        <v>15.006759744480101</v>
      </c>
      <c r="D24" s="268">
        <f>RESUM!D24</f>
        <v>12.094651030462654</v>
      </c>
      <c r="E24" s="268">
        <f>RESUM!E24</f>
        <v>9.5095529549730902</v>
      </c>
      <c r="F24" s="268">
        <f>RESUM!F24</f>
        <v>7.245986830298083</v>
      </c>
      <c r="G24" s="268">
        <f>RESUM!G24</f>
        <v>5.2987451175068303</v>
      </c>
      <c r="H24" s="268">
        <f>RESUM!H24</f>
        <v>3.9559379328133821</v>
      </c>
      <c r="I24" s="268">
        <f>RESUM!I24</f>
        <v>3.1117458155759379</v>
      </c>
      <c r="J24" s="268">
        <f>RESUM!J24</f>
        <v>2.3720453513241808</v>
      </c>
      <c r="K24" s="268">
        <f>RESUM!K24</f>
        <v>1.735296760806581</v>
      </c>
      <c r="L24" s="411">
        <f>RESUM!L24</f>
        <v>0</v>
      </c>
      <c r="M24" s="411">
        <f>RESUM!M24</f>
        <v>0</v>
      </c>
      <c r="N24" s="411">
        <f>RESUM!N24</f>
        <v>0</v>
      </c>
      <c r="O24" s="411">
        <f>RESUM!O24</f>
        <v>0</v>
      </c>
    </row>
    <row r="25" spans="1:29" ht="16.5" customHeight="1">
      <c r="A25" s="254" t="s">
        <v>150</v>
      </c>
      <c r="B25" s="268">
        <f>RESUM!B25</f>
        <v>56.054575776324988</v>
      </c>
      <c r="C25" s="268">
        <f>RESUM!C25</f>
        <v>50.418093944139528</v>
      </c>
      <c r="D25" s="268">
        <f>RESUM!D25</f>
        <v>44.029135151446766</v>
      </c>
      <c r="E25" s="268">
        <f>RESUM!E25</f>
        <v>38.352581059788484</v>
      </c>
      <c r="F25" s="268">
        <f>RESUM!F25</f>
        <v>32.627246149994782</v>
      </c>
      <c r="G25" s="268">
        <f>RESUM!G25</f>
        <v>26.803988453838304</v>
      </c>
      <c r="H25" s="268">
        <f>RESUM!H25</f>
        <v>22.116623766826507</v>
      </c>
      <c r="I25" s="268">
        <f>RESUM!I25</f>
        <v>18.876745537266732</v>
      </c>
      <c r="J25" s="268">
        <f>RESUM!J25</f>
        <v>15.747610052003482</v>
      </c>
      <c r="K25" s="268">
        <f>RESUM!K25</f>
        <v>12.686709598665599</v>
      </c>
      <c r="L25" s="411">
        <f>RESUM!L25</f>
        <v>0</v>
      </c>
      <c r="M25" s="411">
        <f>RESUM!M25</f>
        <v>0</v>
      </c>
      <c r="N25" s="411">
        <f>RESUM!N25</f>
        <v>0</v>
      </c>
      <c r="O25" s="411">
        <f>RESUM!O25</f>
        <v>0</v>
      </c>
    </row>
    <row r="26" spans="1:29" ht="16.5" customHeight="1">
      <c r="A26" s="254" t="s">
        <v>151</v>
      </c>
      <c r="B26" s="275">
        <f>RESUM!B26</f>
        <v>0.70089962084343105</v>
      </c>
      <c r="C26" s="275">
        <f>RESUM!C26</f>
        <v>0.57925472858976135</v>
      </c>
      <c r="D26" s="275">
        <f>RESUM!D26</f>
        <v>0.46919726855177446</v>
      </c>
      <c r="E26" s="275">
        <f>RESUM!E26</f>
        <v>0.37072374920842394</v>
      </c>
      <c r="F26" s="275">
        <f>RESUM!F26</f>
        <v>0.28383538459837271</v>
      </c>
      <c r="G26" s="275">
        <f>RESUM!G26</f>
        <v>0.20853211935634416</v>
      </c>
      <c r="H26" s="275">
        <f>RESUM!H26</f>
        <v>0.15639908951725812</v>
      </c>
      <c r="I26" s="275">
        <f>RESUM!I26</f>
        <v>0.12357458306947457</v>
      </c>
      <c r="J26" s="275">
        <f>RESUM!J26</f>
        <v>9.4611794866124213E-2</v>
      </c>
      <c r="K26" s="275">
        <f>RESUM!K26</f>
        <v>6.9510706452114698E-2</v>
      </c>
      <c r="L26" s="417">
        <f>RESUM!L26</f>
        <v>0</v>
      </c>
      <c r="M26" s="417">
        <f>RESUM!M26</f>
        <v>0</v>
      </c>
      <c r="N26" s="417">
        <f>RESUM!N26</f>
        <v>0</v>
      </c>
      <c r="O26" s="417">
        <f>RESUM!O26</f>
        <v>0</v>
      </c>
    </row>
    <row r="27" spans="1:29" ht="16.5" customHeight="1">
      <c r="A27" s="254" t="s">
        <v>152</v>
      </c>
      <c r="B27" s="275">
        <f>RESUM!B27</f>
        <v>0.57046953310213477</v>
      </c>
      <c r="C27" s="275">
        <f>RESUM!C27</f>
        <v>0.46842361299026158</v>
      </c>
      <c r="D27" s="275">
        <f>RESUM!D27</f>
        <v>0.38263137350883397</v>
      </c>
      <c r="E27" s="275">
        <f>RESUM!E27</f>
        <v>0.30037723666478472</v>
      </c>
      <c r="F27" s="275">
        <f>RESUM!F27</f>
        <v>0.22829367211423904</v>
      </c>
      <c r="G27" s="275">
        <f>RESUM!G27</f>
        <v>0.16748884888044202</v>
      </c>
      <c r="H27" s="275">
        <f>RESUM!H27</f>
        <v>0.12634984042141995</v>
      </c>
      <c r="I27" s="275">
        <f>RESUM!I27</f>
        <v>0.10067237976436771</v>
      </c>
      <c r="J27" s="275">
        <f>RESUM!J27</f>
        <v>7.7326396178771115E-2</v>
      </c>
      <c r="K27" s="275">
        <f>RESUM!K27</f>
        <v>5.7400884816279467E-2</v>
      </c>
      <c r="L27" s="417">
        <f>RESUM!L27</f>
        <v>0</v>
      </c>
      <c r="M27" s="417">
        <f>RESUM!M27</f>
        <v>0</v>
      </c>
      <c r="N27" s="417">
        <f>RESUM!N27</f>
        <v>0</v>
      </c>
      <c r="O27" s="417">
        <f>RESUM!O27</f>
        <v>0</v>
      </c>
    </row>
    <row r="28" spans="1:29" ht="16.5" customHeight="1">
      <c r="A28" s="254" t="s">
        <v>153</v>
      </c>
      <c r="B28" s="275">
        <f>RESUM!B28</f>
        <v>12.582190650957775</v>
      </c>
      <c r="C28" s="275">
        <f>RESUM!C28</f>
        <v>10.609447133863862</v>
      </c>
      <c r="D28" s="275">
        <f>RESUM!D28</f>
        <v>8.2729963139986573</v>
      </c>
      <c r="E28" s="275">
        <f>RESUM!E28</f>
        <v>6.6694262224280854</v>
      </c>
      <c r="F28" s="275">
        <f>RESUM!F28</f>
        <v>5.1986684690112108</v>
      </c>
      <c r="G28" s="275">
        <f>RESUM!G28</f>
        <v>3.8360301787262152</v>
      </c>
      <c r="H28" s="275">
        <f>RESUM!H28</f>
        <v>2.8188793076561045</v>
      </c>
      <c r="I28" s="275">
        <f>RESUM!I28</f>
        <v>2.214584317694722</v>
      </c>
      <c r="J28" s="275">
        <f>RESUM!J28</f>
        <v>1.7145460587745998</v>
      </c>
      <c r="K28" s="275">
        <f>RESUM!K28</f>
        <v>1.269766773409243</v>
      </c>
      <c r="L28" s="417">
        <f>RESUM!L28</f>
        <v>0</v>
      </c>
      <c r="M28" s="417">
        <f>RESUM!M28</f>
        <v>0</v>
      </c>
      <c r="N28" s="417">
        <f>RESUM!N28</f>
        <v>0</v>
      </c>
      <c r="O28" s="417">
        <f>RESUM!O28</f>
        <v>0</v>
      </c>
    </row>
    <row r="29" spans="1:29" ht="16.5" customHeight="1">
      <c r="A29" s="254" t="s">
        <v>154</v>
      </c>
      <c r="B29" s="275">
        <f>RESUM!B29</f>
        <v>0.63923156108862922</v>
      </c>
      <c r="C29" s="275">
        <f>RESUM!C29</f>
        <v>0.64966175886835342</v>
      </c>
      <c r="D29" s="275">
        <f>RESUM!D29</f>
        <v>0.62520879135240104</v>
      </c>
      <c r="E29" s="275">
        <f>RESUM!E29</f>
        <v>0.63980311648448285</v>
      </c>
      <c r="F29" s="275">
        <f>RESUM!F29</f>
        <v>0.64887445572522118</v>
      </c>
      <c r="G29" s="275">
        <f>RESUM!G29</f>
        <v>0.66330106259045651</v>
      </c>
      <c r="H29" s="275">
        <f>RESUM!H29</f>
        <v>0.63834214824981661</v>
      </c>
      <c r="I29" s="275">
        <f>RESUM!I29</f>
        <v>0.63746995059984113</v>
      </c>
      <c r="J29" s="275">
        <f>RESUM!J29</f>
        <v>0.64236141858573337</v>
      </c>
      <c r="K29" s="275">
        <f>RESUM!K29</f>
        <v>0.65891741307828444</v>
      </c>
      <c r="L29" s="417">
        <f>RESUM!L29</f>
        <v>0</v>
      </c>
      <c r="M29" s="417">
        <f>RESUM!M29</f>
        <v>0</v>
      </c>
      <c r="N29" s="417">
        <f>RESUM!N29</f>
        <v>0</v>
      </c>
      <c r="O29" s="417">
        <f>RESUM!O29</f>
        <v>0</v>
      </c>
    </row>
    <row r="30" spans="1:29" ht="16.5" customHeight="1">
      <c r="A30" s="254" t="s">
        <v>155</v>
      </c>
      <c r="B30" s="275">
        <f>RESUM!B30</f>
        <v>0.72062238887845909</v>
      </c>
      <c r="C30" s="275">
        <f>RESUM!C30</f>
        <v>0.73819205048104208</v>
      </c>
      <c r="D30" s="275">
        <f>RESUM!D30</f>
        <v>0.71565749732726203</v>
      </c>
      <c r="E30" s="275">
        <f>RESUM!E30</f>
        <v>0.73292651001516973</v>
      </c>
      <c r="F30" s="275">
        <f>RESUM!F30</f>
        <v>0.74896108262760919</v>
      </c>
      <c r="G30" s="275">
        <f>RESUM!G30</f>
        <v>0.75555984272185484</v>
      </c>
      <c r="H30" s="275">
        <f>RESUM!H30</f>
        <v>0.74450843215908047</v>
      </c>
      <c r="I30" s="275">
        <f>RESUM!I30</f>
        <v>0.74403785999164929</v>
      </c>
      <c r="J30" s="275">
        <f>RESUM!J30</f>
        <v>0.7554123929178117</v>
      </c>
      <c r="K30" s="275">
        <f>RESUM!K30</f>
        <v>0.76480731607465435</v>
      </c>
      <c r="L30" s="417">
        <f>RESUM!L30</f>
        <v>0</v>
      </c>
      <c r="M30" s="417">
        <f>RESUM!M30</f>
        <v>0</v>
      </c>
      <c r="N30" s="417">
        <f>RESUM!N30</f>
        <v>0</v>
      </c>
      <c r="O30" s="417">
        <f>RESUM!O30</f>
        <v>0</v>
      </c>
    </row>
    <row r="31" spans="1:29" ht="16.5" customHeight="1">
      <c r="A31" s="254" t="s">
        <v>156</v>
      </c>
      <c r="B31" s="276">
        <f>RESUM!B31</f>
        <v>63.263681289333164</v>
      </c>
      <c r="C31" s="276">
        <f>RESUM!C31</f>
        <v>57.512380127887837</v>
      </c>
      <c r="D31" s="276">
        <f>RESUM!D31</f>
        <v>51.761193876292936</v>
      </c>
      <c r="E31" s="276">
        <f>RESUM!E31</f>
        <v>46.009948962011634</v>
      </c>
      <c r="F31" s="276">
        <f>RESUM!F31</f>
        <v>40.2587063424766</v>
      </c>
      <c r="G31" s="276">
        <f>RESUM!G31</f>
        <v>34.507462584195288</v>
      </c>
      <c r="H31" s="276">
        <f>RESUM!H31</f>
        <v>29.884339218054137</v>
      </c>
      <c r="I31" s="276">
        <f>RESUM!I31</f>
        <v>26.563856418618368</v>
      </c>
      <c r="J31" s="276">
        <f>RESUM!J31</f>
        <v>23.24337494405496</v>
      </c>
      <c r="K31" s="276">
        <f>RESUM!K31</f>
        <v>19.922892812036086</v>
      </c>
      <c r="L31" s="418">
        <f>RESUM!L31</f>
        <v>0</v>
      </c>
      <c r="M31" s="418">
        <f>RESUM!M31</f>
        <v>0</v>
      </c>
      <c r="N31" s="418">
        <f>RESUM!N31</f>
        <v>0</v>
      </c>
      <c r="O31" s="418">
        <f>RESUM!O31</f>
        <v>0</v>
      </c>
    </row>
    <row r="32" spans="1:29" s="278" customFormat="1" ht="16.5" customHeight="1">
      <c r="A32" s="277" t="s">
        <v>157</v>
      </c>
      <c r="B32" s="61">
        <f>RESUM!B32</f>
        <v>143.98229509386394</v>
      </c>
      <c r="C32" s="61">
        <f>RESUM!C32</f>
        <v>154.15789590655314</v>
      </c>
      <c r="D32" s="61">
        <f>RESUM!D32</f>
        <v>180.23626791066553</v>
      </c>
      <c r="E32" s="61">
        <f>RESUM!E32</f>
        <v>197.40415462803315</v>
      </c>
      <c r="F32" s="61">
        <f>RESUM!F32</f>
        <v>218.8233229067647</v>
      </c>
      <c r="G32" s="61">
        <f>RESUM!G32</f>
        <v>253.86340501447495</v>
      </c>
      <c r="H32" s="61">
        <f>RESUM!H32</f>
        <v>303.1701328119147</v>
      </c>
      <c r="I32" s="61">
        <f>RESUM!I32</f>
        <v>343.683599423874</v>
      </c>
      <c r="J32" s="61">
        <f>RESUM!J32</f>
        <v>384.51693197301643</v>
      </c>
      <c r="K32" s="61">
        <f>RESUM!K32</f>
        <v>443.82808629612254</v>
      </c>
      <c r="L32" s="419">
        <f>RESUM!L32</f>
        <v>0</v>
      </c>
      <c r="M32" s="419">
        <f>RESUM!M32</f>
        <v>0</v>
      </c>
      <c r="N32" s="419">
        <f>RESUM!N32</f>
        <v>0</v>
      </c>
      <c r="O32" s="419">
        <f>RESUM!O32</f>
        <v>0</v>
      </c>
      <c r="P32" s="265"/>
      <c r="Q32" s="265"/>
      <c r="R32" s="265"/>
      <c r="S32" s="265"/>
      <c r="T32" s="265"/>
      <c r="U32" s="265"/>
      <c r="V32" s="265"/>
      <c r="W32" s="265"/>
      <c r="X32" s="265"/>
      <c r="Y32" s="265"/>
      <c r="Z32" s="265"/>
      <c r="AA32" s="265"/>
      <c r="AB32" s="265"/>
      <c r="AC32" s="265"/>
    </row>
    <row r="33" spans="1:15" ht="16.5" customHeight="1">
      <c r="A33" s="277"/>
      <c r="B33" s="61">
        <f>RESUM!B33</f>
        <v>0</v>
      </c>
      <c r="C33" s="61">
        <f>RESUM!C33</f>
        <v>0</v>
      </c>
      <c r="D33" s="61">
        <f>RESUM!D33</f>
        <v>0</v>
      </c>
      <c r="E33" s="61">
        <f>RESUM!E33</f>
        <v>0</v>
      </c>
      <c r="F33" s="61">
        <f>RESUM!F33</f>
        <v>0</v>
      </c>
      <c r="G33" s="61">
        <f>RESUM!G33</f>
        <v>0</v>
      </c>
      <c r="H33" s="61">
        <f>RESUM!H33</f>
        <v>0</v>
      </c>
      <c r="I33" s="62">
        <f>RESUM!I33</f>
        <v>0</v>
      </c>
      <c r="J33" s="61">
        <f>RESUM!J33</f>
        <v>0</v>
      </c>
      <c r="K33" s="61">
        <f>RESUM!K33</f>
        <v>0</v>
      </c>
      <c r="L33" s="419">
        <f>RESUM!L33</f>
        <v>0</v>
      </c>
      <c r="M33" s="419">
        <f>RESUM!M33</f>
        <v>0</v>
      </c>
      <c r="N33" s="419">
        <f>RESUM!N33</f>
        <v>0</v>
      </c>
      <c r="O33" s="419">
        <f>RESUM!O33</f>
        <v>0</v>
      </c>
    </row>
    <row r="34" spans="1:15" ht="16.5" customHeight="1">
      <c r="B34" s="237"/>
      <c r="C34" s="237"/>
      <c r="D34" s="237"/>
      <c r="E34" s="237"/>
      <c r="F34" s="237"/>
      <c r="G34" s="237"/>
      <c r="H34" s="237"/>
      <c r="I34" s="237"/>
    </row>
    <row r="35" spans="1:15" ht="16.5" customHeight="1">
      <c r="B35" s="279"/>
      <c r="C35" s="279"/>
      <c r="D35" s="279"/>
      <c r="E35" s="279"/>
      <c r="F35" s="279"/>
      <c r="G35" s="279"/>
      <c r="H35" s="279"/>
      <c r="I35" s="279"/>
    </row>
    <row r="36" spans="1:15" ht="16.5" customHeight="1">
      <c r="B36" s="237"/>
      <c r="C36" s="237"/>
      <c r="D36" s="237"/>
      <c r="E36" s="237"/>
      <c r="F36" s="237"/>
      <c r="G36" s="237"/>
      <c r="H36" s="237"/>
      <c r="I36" s="237"/>
    </row>
    <row r="37" spans="1:15" ht="16.5" customHeight="1">
      <c r="B37" s="237"/>
      <c r="C37" s="237"/>
      <c r="D37" s="237"/>
      <c r="E37" s="237"/>
      <c r="F37" s="237"/>
      <c r="G37" s="237"/>
      <c r="H37" s="237"/>
      <c r="I37" s="237"/>
    </row>
    <row r="38" spans="1:15" ht="16.5" customHeight="1">
      <c r="B38" s="237"/>
      <c r="C38" s="237"/>
      <c r="D38" s="237"/>
      <c r="E38" s="237"/>
      <c r="F38" s="237"/>
      <c r="G38" s="237"/>
      <c r="H38" s="237"/>
      <c r="I38" s="237"/>
    </row>
    <row r="39" spans="1:15" ht="16.5" customHeight="1">
      <c r="B39" s="237"/>
      <c r="C39" s="237"/>
      <c r="D39" s="237"/>
      <c r="E39" s="237"/>
      <c r="F39" s="237"/>
      <c r="G39" s="237"/>
      <c r="H39" s="237"/>
      <c r="I39" s="237"/>
    </row>
    <row r="40" spans="1:15" ht="16.5" customHeight="1">
      <c r="B40" s="237"/>
      <c r="C40" s="237"/>
      <c r="D40" s="237"/>
      <c r="E40" s="237"/>
      <c r="F40" s="237"/>
      <c r="G40" s="237"/>
      <c r="H40" s="237"/>
      <c r="I40" s="237"/>
    </row>
    <row r="41" spans="1:15" ht="16.5" customHeight="1">
      <c r="B41" s="237"/>
      <c r="C41" s="237"/>
      <c r="D41" s="237"/>
      <c r="E41" s="237"/>
      <c r="F41" s="237"/>
      <c r="G41" s="237"/>
      <c r="H41" s="237"/>
      <c r="I41" s="237"/>
    </row>
    <row r="42" spans="1:15" ht="16.5" customHeight="1">
      <c r="B42" s="237"/>
      <c r="C42" s="237"/>
      <c r="D42" s="237"/>
      <c r="E42" s="237"/>
      <c r="F42" s="237"/>
      <c r="G42" s="237"/>
      <c r="H42" s="237"/>
      <c r="I42" s="237"/>
    </row>
    <row r="43" spans="1:15" ht="16.5" customHeight="1">
      <c r="B43" s="237"/>
      <c r="C43" s="237"/>
      <c r="D43" s="237"/>
      <c r="E43" s="237"/>
      <c r="F43" s="237"/>
      <c r="G43" s="237"/>
      <c r="H43" s="237"/>
      <c r="I43" s="237"/>
    </row>
    <row r="44" spans="1:15" ht="16.5" customHeight="1">
      <c r="B44" s="237"/>
      <c r="C44" s="237"/>
      <c r="D44" s="237"/>
      <c r="E44" s="237"/>
      <c r="F44" s="237"/>
      <c r="G44" s="237"/>
      <c r="H44" s="237"/>
      <c r="I44" s="237"/>
    </row>
    <row r="45" spans="1:15" ht="16.5" customHeight="1">
      <c r="B45" s="237"/>
      <c r="C45" s="237"/>
      <c r="D45" s="237"/>
      <c r="E45" s="237"/>
      <c r="F45" s="237"/>
      <c r="G45" s="237"/>
      <c r="H45" s="237"/>
      <c r="I45" s="237"/>
    </row>
    <row r="46" spans="1:15" ht="16.5" customHeight="1">
      <c r="B46" s="237"/>
      <c r="C46" s="237"/>
      <c r="D46" s="237"/>
      <c r="E46" s="237"/>
      <c r="F46" s="237"/>
      <c r="G46" s="237"/>
      <c r="H46" s="237"/>
      <c r="I46" s="237"/>
    </row>
    <row r="47" spans="1:15" ht="16.5" customHeight="1">
      <c r="B47" s="237"/>
      <c r="C47" s="237"/>
      <c r="D47" s="237"/>
      <c r="E47" s="237"/>
      <c r="F47" s="237"/>
      <c r="G47" s="237"/>
      <c r="H47" s="237"/>
      <c r="I47" s="237"/>
    </row>
    <row r="48" spans="1:15" ht="16.5" customHeight="1">
      <c r="B48" s="237"/>
      <c r="C48" s="237"/>
      <c r="D48" s="237"/>
      <c r="E48" s="237"/>
      <c r="F48" s="237"/>
      <c r="G48" s="237"/>
      <c r="H48" s="237"/>
      <c r="I48" s="237"/>
    </row>
    <row r="49" spans="1:30" ht="16.5" customHeight="1">
      <c r="B49" s="237"/>
      <c r="C49" s="237"/>
      <c r="D49" s="237"/>
      <c r="E49" s="237"/>
      <c r="F49" s="237"/>
      <c r="G49" s="237"/>
      <c r="H49" s="237"/>
      <c r="I49" s="237"/>
    </row>
    <row r="50" spans="1:30" s="280" customFormat="1" ht="16.5" customHeight="1">
      <c r="B50" s="281"/>
      <c r="C50" s="281"/>
      <c r="D50" s="281"/>
      <c r="E50" s="281"/>
      <c r="F50" s="281"/>
      <c r="G50" s="281"/>
      <c r="H50" s="281"/>
      <c r="I50" s="281"/>
    </row>
    <row r="51" spans="1:30" s="280" customFormat="1" ht="15" customHeight="1">
      <c r="B51" s="281"/>
      <c r="C51" s="281"/>
      <c r="D51" s="281"/>
      <c r="E51" s="281"/>
      <c r="F51" s="281"/>
      <c r="G51" s="281"/>
      <c r="H51" s="281"/>
      <c r="I51" s="281"/>
    </row>
    <row r="52" spans="1:30" s="280" customFormat="1" ht="15" customHeight="1">
      <c r="B52" s="281"/>
      <c r="C52" s="281"/>
      <c r="D52" s="281"/>
      <c r="E52" s="281"/>
      <c r="F52" s="281"/>
      <c r="G52" s="281"/>
      <c r="H52" s="281"/>
      <c r="I52" s="281"/>
    </row>
    <row r="53" spans="1:30" s="280" customFormat="1" ht="15" customHeight="1">
      <c r="B53" s="281"/>
      <c r="C53" s="281"/>
      <c r="D53" s="281"/>
      <c r="E53" s="281"/>
      <c r="F53" s="281"/>
      <c r="G53" s="281"/>
      <c r="H53" s="281"/>
      <c r="I53" s="281"/>
    </row>
    <row r="54" spans="1:30" s="280" customFormat="1" ht="15" customHeight="1">
      <c r="A54" s="233"/>
      <c r="B54" s="237"/>
      <c r="C54" s="237"/>
      <c r="D54" s="237"/>
      <c r="E54" s="237"/>
      <c r="F54" s="237"/>
      <c r="G54" s="237"/>
      <c r="H54" s="237"/>
      <c r="I54" s="281"/>
    </row>
    <row r="55" spans="1:30" s="283" customFormat="1" ht="15" customHeight="1">
      <c r="A55" s="233"/>
      <c r="B55" s="237"/>
      <c r="C55" s="237"/>
      <c r="D55" s="237"/>
      <c r="E55" s="237"/>
      <c r="F55" s="237"/>
      <c r="G55" s="237"/>
      <c r="H55" s="237"/>
      <c r="I55" s="282"/>
    </row>
    <row r="56" spans="1:30" s="283" customFormat="1" ht="15" customHeight="1">
      <c r="A56" s="233"/>
      <c r="B56" s="237"/>
      <c r="C56" s="237"/>
      <c r="D56" s="237"/>
      <c r="E56" s="237"/>
      <c r="F56" s="237"/>
      <c r="G56" s="237"/>
      <c r="H56" s="237"/>
      <c r="I56" s="282"/>
    </row>
    <row r="57" spans="1:30" s="283" customFormat="1" ht="15" customHeight="1">
      <c r="A57" s="233"/>
      <c r="B57" s="237"/>
      <c r="C57" s="237"/>
      <c r="D57" s="237"/>
      <c r="E57" s="237"/>
      <c r="F57" s="237"/>
      <c r="G57" s="237"/>
      <c r="H57" s="237"/>
      <c r="I57" s="282"/>
    </row>
    <row r="58" spans="1:30" s="283" customFormat="1" ht="15" customHeight="1">
      <c r="A58" s="233"/>
      <c r="B58" s="237"/>
      <c r="C58" s="237"/>
      <c r="D58" s="237"/>
      <c r="E58" s="237"/>
      <c r="F58" s="237"/>
      <c r="G58" s="237"/>
      <c r="H58" s="237"/>
      <c r="I58" s="237"/>
      <c r="J58" s="233"/>
      <c r="K58" s="233"/>
      <c r="L58" s="233"/>
      <c r="M58" s="233"/>
      <c r="N58" s="233"/>
      <c r="O58" s="233"/>
      <c r="P58" s="233"/>
      <c r="Q58" s="233"/>
      <c r="R58" s="233"/>
      <c r="S58" s="233"/>
      <c r="T58" s="233"/>
      <c r="U58" s="233"/>
      <c r="V58" s="233"/>
      <c r="W58" s="233"/>
      <c r="X58" s="233"/>
      <c r="Y58" s="233"/>
      <c r="Z58" s="233"/>
      <c r="AA58" s="233"/>
      <c r="AB58" s="233"/>
      <c r="AC58" s="233"/>
      <c r="AD58" s="233"/>
    </row>
    <row r="59" spans="1:30" s="283" customFormat="1" ht="15" customHeight="1">
      <c r="B59" s="282"/>
      <c r="C59" s="282"/>
      <c r="D59" s="282"/>
      <c r="E59" s="282"/>
      <c r="F59" s="282"/>
      <c r="G59" s="282"/>
      <c r="H59" s="282"/>
      <c r="I59" s="282"/>
      <c r="T59" s="233"/>
      <c r="U59" s="233"/>
      <c r="V59" s="233"/>
      <c r="W59" s="233"/>
      <c r="X59" s="233"/>
      <c r="Y59" s="233"/>
      <c r="Z59" s="233"/>
      <c r="AA59" s="233"/>
      <c r="AB59" s="233"/>
      <c r="AC59" s="233"/>
      <c r="AD59" s="233"/>
    </row>
    <row r="60" spans="1:30" s="283" customFormat="1" ht="15" customHeight="1">
      <c r="B60" s="282"/>
      <c r="C60" s="282"/>
      <c r="D60" s="282"/>
      <c r="E60" s="282"/>
      <c r="F60" s="282"/>
      <c r="G60" s="282"/>
      <c r="H60" s="282"/>
      <c r="I60" s="282"/>
      <c r="L60" s="282"/>
      <c r="O60" s="282"/>
      <c r="T60" s="233"/>
      <c r="U60" s="233"/>
      <c r="V60" s="233"/>
      <c r="W60" s="233"/>
      <c r="X60" s="233"/>
      <c r="Y60" s="233"/>
      <c r="Z60" s="233"/>
      <c r="AA60" s="233"/>
      <c r="AB60" s="233"/>
      <c r="AC60" s="233"/>
      <c r="AD60" s="233"/>
    </row>
    <row r="61" spans="1:30" s="293" customFormat="1" ht="15" customHeight="1">
      <c r="A61" s="293" t="s">
        <v>158</v>
      </c>
      <c r="B61" s="294">
        <f>B16*120/B10-B12</f>
        <v>12.420000000000016</v>
      </c>
      <c r="C61" s="294">
        <f>C16*120/U12-C12</f>
        <v>12.560000000000002</v>
      </c>
      <c r="D61" s="294">
        <f>D16*120/V12-D12</f>
        <v>12.144000000000005</v>
      </c>
      <c r="E61" s="294">
        <f t="shared" ref="E61:K61" si="6">E16*120/E10-E12</f>
        <v>12.25</v>
      </c>
      <c r="F61" s="294">
        <f t="shared" si="6"/>
        <v>12.52800000000002</v>
      </c>
      <c r="G61" s="294">
        <f t="shared" si="6"/>
        <v>12.511999999999944</v>
      </c>
      <c r="H61" s="294">
        <f t="shared" si="6"/>
        <v>12.090000000000032</v>
      </c>
      <c r="I61" s="294">
        <f t="shared" si="6"/>
        <v>11.440000000000055</v>
      </c>
      <c r="J61" s="294">
        <f t="shared" si="6"/>
        <v>11.016000000000076</v>
      </c>
      <c r="K61" s="294">
        <f t="shared" si="6"/>
        <v>10.200000000000045</v>
      </c>
      <c r="L61" s="294">
        <f t="shared" ref="L61:Q61" si="7">L16*120/L10-L12</f>
        <v>0</v>
      </c>
      <c r="M61" s="294">
        <f t="shared" si="7"/>
        <v>0</v>
      </c>
      <c r="N61" s="294">
        <f t="shared" si="7"/>
        <v>0</v>
      </c>
      <c r="O61" s="294">
        <f t="shared" si="7"/>
        <v>0</v>
      </c>
      <c r="P61" s="294" t="e">
        <f t="shared" si="7"/>
        <v>#DIV/0!</v>
      </c>
      <c r="Q61" s="294" t="e">
        <f t="shared" si="7"/>
        <v>#DIV/0!</v>
      </c>
      <c r="T61" s="566"/>
      <c r="U61" s="566"/>
      <c r="V61" s="566"/>
      <c r="W61" s="566"/>
      <c r="X61" s="566"/>
      <c r="Y61" s="566"/>
      <c r="Z61" s="566"/>
      <c r="AA61" s="566"/>
      <c r="AB61" s="566"/>
      <c r="AC61" s="566"/>
      <c r="AD61" s="566"/>
    </row>
    <row r="62" spans="1:30" s="295" customFormat="1" ht="15" customHeight="1">
      <c r="A62" s="295" t="s">
        <v>159</v>
      </c>
      <c r="B62" s="296"/>
      <c r="C62" s="296"/>
      <c r="D62" s="296"/>
      <c r="E62" s="296"/>
      <c r="F62" s="296"/>
      <c r="G62" s="296"/>
      <c r="H62" s="296"/>
      <c r="I62" s="296"/>
      <c r="L62" s="296"/>
      <c r="O62" s="296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</row>
    <row r="63" spans="1:30" s="293" customFormat="1" ht="15" customHeight="1">
      <c r="A63" s="293" t="s">
        <v>160</v>
      </c>
      <c r="B63" s="294">
        <f>2*PI()*B16*B28/1000*B32</f>
        <v>256.11070992132136</v>
      </c>
      <c r="C63" s="294">
        <f t="shared" ref="C63:K63" si="8">2*PI()*C16*C28/1000*C32</f>
        <v>256.90845900147696</v>
      </c>
      <c r="D63" s="294">
        <f t="shared" si="8"/>
        <v>257.64254414865167</v>
      </c>
      <c r="E63" s="294">
        <f t="shared" si="8"/>
        <v>258.50839512809495</v>
      </c>
      <c r="F63" s="294">
        <f t="shared" si="8"/>
        <v>259.10369733428331</v>
      </c>
      <c r="G63" s="294">
        <f t="shared" si="8"/>
        <v>260.04644103178197</v>
      </c>
      <c r="H63" s="294">
        <f t="shared" si="8"/>
        <v>261.76849978504333</v>
      </c>
      <c r="I63" s="294">
        <f t="shared" si="8"/>
        <v>263.02291472118247</v>
      </c>
      <c r="J63" s="293">
        <f t="shared" si="8"/>
        <v>264.07341526265498</v>
      </c>
      <c r="K63" s="293">
        <f t="shared" si="8"/>
        <v>265.57052492514981</v>
      </c>
      <c r="L63" s="294">
        <f t="shared" ref="L63:Q63" si="9">2*PI()*L16*L28/1000*L32</f>
        <v>0</v>
      </c>
      <c r="M63" s="293">
        <f t="shared" si="9"/>
        <v>0</v>
      </c>
      <c r="N63" s="293">
        <f t="shared" si="9"/>
        <v>0</v>
      </c>
      <c r="O63" s="294">
        <f t="shared" si="9"/>
        <v>0</v>
      </c>
      <c r="P63" s="293">
        <f t="shared" si="9"/>
        <v>0</v>
      </c>
      <c r="Q63" s="293">
        <f t="shared" si="9"/>
        <v>0</v>
      </c>
      <c r="T63" s="566"/>
      <c r="U63" s="566"/>
      <c r="V63" s="566"/>
      <c r="W63" s="566"/>
      <c r="X63" s="566"/>
      <c r="Y63" s="566"/>
      <c r="Z63" s="566"/>
      <c r="AA63" s="566"/>
      <c r="AB63" s="566"/>
      <c r="AC63" s="566"/>
      <c r="AD63" s="566"/>
    </row>
    <row r="64" spans="1:30" s="293" customFormat="1" ht="15" customHeight="1">
      <c r="A64" s="293" t="s">
        <v>161</v>
      </c>
      <c r="B64" s="294">
        <f>B23/1000*(B15^2-B32^2)^0.5</f>
        <v>8.2782200084719815</v>
      </c>
      <c r="C64" s="294">
        <f t="shared" ref="C64:K64" si="10">C23/1000*(C15^2-C32^2)^0.5</f>
        <v>7.5770551324207087</v>
      </c>
      <c r="D64" s="294">
        <f t="shared" si="10"/>
        <v>6.7556210364276001</v>
      </c>
      <c r="E64" s="294">
        <f t="shared" si="10"/>
        <v>6.0040130353069383</v>
      </c>
      <c r="F64" s="294">
        <f t="shared" si="10"/>
        <v>5.3204368013029937</v>
      </c>
      <c r="G64" s="294">
        <f t="shared" si="10"/>
        <v>4.4821739651683341</v>
      </c>
      <c r="H64" s="294">
        <f t="shared" si="10"/>
        <v>3.9065715541911814</v>
      </c>
      <c r="I64" s="294">
        <f t="shared" si="10"/>
        <v>3.2891945191568102</v>
      </c>
      <c r="J64" s="293">
        <f t="shared" si="10"/>
        <v>2.7691846153263411</v>
      </c>
      <c r="K64" s="293">
        <f t="shared" si="10"/>
        <v>2.1759167524123875</v>
      </c>
      <c r="L64" s="294">
        <f t="shared" ref="L64:Q64" si="11">L23/1000*(L15^2-L32^2)^0.5</f>
        <v>0</v>
      </c>
      <c r="M64" s="293">
        <f t="shared" si="11"/>
        <v>0</v>
      </c>
      <c r="N64" s="293">
        <f t="shared" si="11"/>
        <v>0</v>
      </c>
      <c r="O64" s="294">
        <f t="shared" si="11"/>
        <v>0</v>
      </c>
      <c r="P64" s="293">
        <f t="shared" si="11"/>
        <v>0</v>
      </c>
      <c r="Q64" s="293">
        <f t="shared" si="11"/>
        <v>0</v>
      </c>
      <c r="T64" s="566"/>
      <c r="U64" s="566"/>
      <c r="V64" s="566"/>
      <c r="W64" s="566"/>
      <c r="X64" s="566"/>
      <c r="Y64" s="566"/>
      <c r="Z64" s="566"/>
      <c r="AA64" s="566"/>
      <c r="AB64" s="566"/>
      <c r="AC64" s="566"/>
      <c r="AD64" s="566"/>
    </row>
    <row r="65" spans="1:30" s="293" customFormat="1" ht="15" customHeight="1">
      <c r="A65" s="293" t="s">
        <v>162</v>
      </c>
      <c r="B65" s="294">
        <f t="shared" ref="B65:K65" si="12">B23/1000*B32</f>
        <v>2.9919202049658238</v>
      </c>
      <c r="C65" s="294">
        <f t="shared" si="12"/>
        <v>2.6549611601675012</v>
      </c>
      <c r="D65" s="294">
        <f t="shared" si="12"/>
        <v>2.5202146330398194</v>
      </c>
      <c r="E65" s="294">
        <f t="shared" si="12"/>
        <v>2.1721601814660474</v>
      </c>
      <c r="F65" s="294">
        <f t="shared" si="12"/>
        <v>1.8488934192287398</v>
      </c>
      <c r="G65" s="294">
        <f t="shared" si="12"/>
        <v>1.5479642875506245</v>
      </c>
      <c r="H65" s="294">
        <f t="shared" si="12"/>
        <v>1.4130596723036111</v>
      </c>
      <c r="I65" s="294">
        <f t="shared" si="12"/>
        <v>1.2605878383498001</v>
      </c>
      <c r="J65" s="293">
        <f t="shared" si="12"/>
        <v>1.082960164183604</v>
      </c>
      <c r="K65" s="293">
        <f t="shared" si="12"/>
        <v>0.9020993361359837</v>
      </c>
      <c r="L65" s="294">
        <f t="shared" ref="L65:Q65" si="13">L23/1000*L32</f>
        <v>0</v>
      </c>
      <c r="M65" s="293">
        <f t="shared" si="13"/>
        <v>0</v>
      </c>
      <c r="N65" s="293">
        <f t="shared" si="13"/>
        <v>0</v>
      </c>
      <c r="O65" s="294">
        <f t="shared" si="13"/>
        <v>0</v>
      </c>
      <c r="P65" s="293">
        <f t="shared" si="13"/>
        <v>0</v>
      </c>
      <c r="Q65" s="293">
        <f t="shared" si="13"/>
        <v>0</v>
      </c>
      <c r="T65" s="566"/>
      <c r="U65" s="566"/>
      <c r="V65" s="566"/>
      <c r="W65" s="566"/>
      <c r="X65" s="566"/>
      <c r="Y65" s="566"/>
      <c r="Z65" s="566"/>
      <c r="AA65" s="566"/>
      <c r="AB65" s="566"/>
      <c r="AC65" s="566"/>
      <c r="AD65" s="566"/>
    </row>
    <row r="66" spans="1:30" s="293" customFormat="1" ht="15" customHeight="1">
      <c r="A66" s="293" t="s">
        <v>163</v>
      </c>
      <c r="B66" s="294">
        <f>2*PI()*B16*B26/1000*B32</f>
        <v>14.266823994129485</v>
      </c>
      <c r="C66" s="294">
        <f t="shared" ref="C66:K66" si="14">2*PI()*C16*C26/1000*C32</f>
        <v>14.026691288777569</v>
      </c>
      <c r="D66" s="294">
        <f t="shared" si="14"/>
        <v>14.612018836842546</v>
      </c>
      <c r="E66" s="294">
        <f t="shared" si="14"/>
        <v>14.36933227051278</v>
      </c>
      <c r="F66" s="294">
        <f t="shared" si="14"/>
        <v>14.146468085456609</v>
      </c>
      <c r="G66" s="294">
        <f t="shared" si="14"/>
        <v>14.136498659517569</v>
      </c>
      <c r="H66" s="294">
        <f t="shared" si="14"/>
        <v>14.523628209084702</v>
      </c>
      <c r="I66" s="294">
        <f t="shared" si="14"/>
        <v>14.676771060233156</v>
      </c>
      <c r="J66" s="293">
        <f t="shared" si="14"/>
        <v>14.572055190097227</v>
      </c>
      <c r="K66" s="293">
        <f t="shared" si="14"/>
        <v>14.538098796554731</v>
      </c>
      <c r="L66" s="294">
        <f t="shared" ref="L66:Q66" si="15">2*PI()*L16*L26/1000*L32</f>
        <v>0</v>
      </c>
      <c r="M66" s="293">
        <f t="shared" si="15"/>
        <v>0</v>
      </c>
      <c r="N66" s="293">
        <f t="shared" si="15"/>
        <v>0</v>
      </c>
      <c r="O66" s="294">
        <f t="shared" si="15"/>
        <v>0</v>
      </c>
      <c r="P66" s="293">
        <f t="shared" si="15"/>
        <v>0</v>
      </c>
      <c r="Q66" s="293">
        <f t="shared" si="15"/>
        <v>0</v>
      </c>
      <c r="T66" s="566"/>
      <c r="U66" s="566"/>
      <c r="V66" s="566"/>
      <c r="W66" s="566"/>
      <c r="X66" s="566"/>
      <c r="Y66" s="566"/>
      <c r="Z66" s="566"/>
      <c r="AA66" s="566"/>
      <c r="AB66" s="566"/>
      <c r="AC66" s="566"/>
      <c r="AD66" s="566"/>
    </row>
    <row r="67" spans="1:30" s="293" customFormat="1" ht="15" customHeight="1">
      <c r="A67" s="293" t="s">
        <v>164</v>
      </c>
      <c r="B67" s="294">
        <f t="shared" ref="B67:K67" si="16">2*PI()*B16*B26/1000*(B15^2-B32^2)^0.5</f>
        <v>39.474283989769688</v>
      </c>
      <c r="C67" s="294">
        <f t="shared" si="16"/>
        <v>40.031099066551945</v>
      </c>
      <c r="D67" s="294">
        <f t="shared" si="16"/>
        <v>39.168593239927503</v>
      </c>
      <c r="E67" s="294">
        <f t="shared" si="16"/>
        <v>39.717908005562947</v>
      </c>
      <c r="F67" s="294">
        <f t="shared" si="16"/>
        <v>40.708344043821825</v>
      </c>
      <c r="G67" s="294">
        <f t="shared" si="16"/>
        <v>40.932627942331969</v>
      </c>
      <c r="H67" s="294">
        <f t="shared" si="16"/>
        <v>40.152297838040788</v>
      </c>
      <c r="I67" s="294">
        <f t="shared" si="16"/>
        <v>38.295431275485967</v>
      </c>
      <c r="J67" s="293">
        <f t="shared" si="16"/>
        <v>37.261491586372188</v>
      </c>
      <c r="K67" s="293">
        <f t="shared" si="16"/>
        <v>35.066750913650267</v>
      </c>
      <c r="L67" s="294">
        <f t="shared" ref="L67:Q67" si="17">2*PI()*L16*L26/1000*(L15^2-L32^2)^0.5</f>
        <v>0</v>
      </c>
      <c r="M67" s="293">
        <f t="shared" si="17"/>
        <v>0</v>
      </c>
      <c r="N67" s="293">
        <f t="shared" si="17"/>
        <v>0</v>
      </c>
      <c r="O67" s="294">
        <f t="shared" si="17"/>
        <v>0</v>
      </c>
      <c r="P67" s="293">
        <f t="shared" si="17"/>
        <v>0</v>
      </c>
      <c r="Q67" s="293">
        <f t="shared" si="17"/>
        <v>0</v>
      </c>
      <c r="T67" s="566"/>
      <c r="U67" s="566"/>
      <c r="V67" s="566"/>
      <c r="W67" s="566"/>
      <c r="X67" s="566"/>
      <c r="Y67" s="566"/>
      <c r="Z67" s="566"/>
      <c r="AA67" s="566"/>
      <c r="AB67" s="566"/>
      <c r="AC67" s="566"/>
      <c r="AD67" s="566"/>
    </row>
    <row r="68" spans="1:30" s="293" customFormat="1" ht="15" customHeight="1">
      <c r="A68" s="293" t="s">
        <v>165</v>
      </c>
      <c r="B68" s="294">
        <f>B63+B66-B64</f>
        <v>262.09931390697886</v>
      </c>
      <c r="C68" s="294">
        <f t="shared" ref="C68:K68" si="18">C63+C66-C64</f>
        <v>263.35809515783382</v>
      </c>
      <c r="D68" s="294">
        <f t="shared" si="18"/>
        <v>265.49894194906659</v>
      </c>
      <c r="E68" s="294">
        <f t="shared" si="18"/>
        <v>266.87371436330079</v>
      </c>
      <c r="F68" s="294">
        <f t="shared" si="18"/>
        <v>267.92972861843691</v>
      </c>
      <c r="G68" s="294">
        <f t="shared" si="18"/>
        <v>269.70076572613118</v>
      </c>
      <c r="H68" s="294">
        <f t="shared" si="18"/>
        <v>272.38555643993681</v>
      </c>
      <c r="I68" s="294">
        <f t="shared" si="18"/>
        <v>274.4104912622588</v>
      </c>
      <c r="J68" s="293">
        <f t="shared" si="18"/>
        <v>275.87628583742583</v>
      </c>
      <c r="K68" s="293">
        <f t="shared" si="18"/>
        <v>277.93270696929216</v>
      </c>
      <c r="L68" s="294">
        <f t="shared" ref="L68:Q68" si="19">L63+L66-L64</f>
        <v>0</v>
      </c>
      <c r="M68" s="293">
        <f t="shared" si="19"/>
        <v>0</v>
      </c>
      <c r="N68" s="293">
        <f t="shared" si="19"/>
        <v>0</v>
      </c>
      <c r="O68" s="294">
        <f t="shared" si="19"/>
        <v>0</v>
      </c>
      <c r="P68" s="293">
        <f t="shared" si="19"/>
        <v>0</v>
      </c>
      <c r="Q68" s="293">
        <f t="shared" si="19"/>
        <v>0</v>
      </c>
      <c r="T68" s="566"/>
      <c r="U68" s="566"/>
      <c r="V68" s="566"/>
      <c r="W68" s="566"/>
      <c r="X68" s="566"/>
      <c r="Y68" s="566"/>
      <c r="Z68" s="566"/>
      <c r="AA68" s="566"/>
      <c r="AB68" s="566"/>
      <c r="AC68" s="566"/>
      <c r="AD68" s="566"/>
    </row>
    <row r="69" spans="1:30" s="293" customFormat="1" ht="15" customHeight="1">
      <c r="A69" s="293" t="s">
        <v>166</v>
      </c>
      <c r="B69" s="294">
        <f>B65-B67</f>
        <v>-36.482363784803866</v>
      </c>
      <c r="C69" s="294">
        <f t="shared" ref="C69:K69" si="20">C65-C67</f>
        <v>-37.376137906384443</v>
      </c>
      <c r="D69" s="294">
        <f t="shared" si="20"/>
        <v>-36.648378606887682</v>
      </c>
      <c r="E69" s="294">
        <f t="shared" si="20"/>
        <v>-37.5457478240969</v>
      </c>
      <c r="F69" s="294">
        <f t="shared" si="20"/>
        <v>-38.859450624593087</v>
      </c>
      <c r="G69" s="294">
        <f t="shared" si="20"/>
        <v>-39.384663654781342</v>
      </c>
      <c r="H69" s="294">
        <f t="shared" si="20"/>
        <v>-38.739238165737177</v>
      </c>
      <c r="I69" s="294">
        <f t="shared" si="20"/>
        <v>-37.034843437136168</v>
      </c>
      <c r="J69" s="293">
        <f t="shared" si="20"/>
        <v>-36.178531422188584</v>
      </c>
      <c r="K69" s="293">
        <f t="shared" si="20"/>
        <v>-34.164651577514284</v>
      </c>
      <c r="L69" s="294">
        <f t="shared" ref="L69:Q69" si="21">L65-L67</f>
        <v>0</v>
      </c>
      <c r="M69" s="293">
        <f t="shared" si="21"/>
        <v>0</v>
      </c>
      <c r="N69" s="293">
        <f t="shared" si="21"/>
        <v>0</v>
      </c>
      <c r="O69" s="294">
        <f t="shared" si="21"/>
        <v>0</v>
      </c>
      <c r="P69" s="293">
        <f t="shared" si="21"/>
        <v>0</v>
      </c>
      <c r="Q69" s="293">
        <f t="shared" si="21"/>
        <v>0</v>
      </c>
      <c r="T69" s="566"/>
      <c r="U69" s="566"/>
      <c r="V69" s="566"/>
      <c r="W69" s="566"/>
      <c r="X69" s="566"/>
      <c r="Y69" s="566"/>
      <c r="Z69" s="566"/>
      <c r="AA69" s="566"/>
      <c r="AB69" s="566"/>
      <c r="AC69" s="566"/>
      <c r="AD69" s="566"/>
    </row>
    <row r="70" spans="1:30" s="293" customFormat="1" ht="15" customHeight="1">
      <c r="A70" s="293" t="s">
        <v>130</v>
      </c>
      <c r="B70" s="294">
        <f>3^0.5*(B68^2+B69^2)^0.5</f>
        <v>458.34598247776472</v>
      </c>
      <c r="C70" s="294">
        <f t="shared" ref="C70:K70" si="22">3^0.5*(C68^2+C69^2)^0.5</f>
        <v>460.7205073684903</v>
      </c>
      <c r="D70" s="294">
        <f t="shared" si="22"/>
        <v>464.2180258152012</v>
      </c>
      <c r="E70" s="294">
        <f t="shared" si="22"/>
        <v>466.79094656302624</v>
      </c>
      <c r="F70" s="294">
        <f t="shared" si="22"/>
        <v>468.92343633175693</v>
      </c>
      <c r="G70" s="294">
        <f t="shared" si="22"/>
        <v>472.08999596833786</v>
      </c>
      <c r="H70" s="294">
        <f t="shared" si="22"/>
        <v>476.53316756786938</v>
      </c>
      <c r="I70" s="294">
        <f t="shared" si="22"/>
        <v>479.60201420513465</v>
      </c>
      <c r="J70" s="293">
        <f t="shared" si="22"/>
        <v>481.92305783180575</v>
      </c>
      <c r="K70" s="293">
        <f t="shared" si="22"/>
        <v>485.01694719058435</v>
      </c>
      <c r="L70" s="294">
        <f t="shared" ref="L70:Q70" si="23">3^0.5*(L68^2+L69^2)^0.5</f>
        <v>0</v>
      </c>
      <c r="M70" s="293">
        <f t="shared" si="23"/>
        <v>0</v>
      </c>
      <c r="N70" s="293">
        <f t="shared" si="23"/>
        <v>0</v>
      </c>
      <c r="O70" s="294">
        <f t="shared" si="23"/>
        <v>0</v>
      </c>
      <c r="P70" s="293">
        <f t="shared" si="23"/>
        <v>0</v>
      </c>
      <c r="Q70" s="293">
        <f t="shared" si="23"/>
        <v>0</v>
      </c>
      <c r="T70" s="566"/>
      <c r="U70" s="566"/>
      <c r="V70" s="566"/>
      <c r="W70" s="566"/>
      <c r="X70" s="566"/>
      <c r="Y70" s="566"/>
      <c r="Z70" s="566"/>
      <c r="AA70" s="566"/>
      <c r="AB70" s="566"/>
      <c r="AC70" s="566"/>
      <c r="AD70" s="566"/>
    </row>
    <row r="71" spans="1:30" s="293" customFormat="1" ht="15" customHeight="1">
      <c r="B71" s="294"/>
      <c r="C71" s="294"/>
      <c r="D71" s="294"/>
      <c r="E71" s="294"/>
      <c r="F71" s="294"/>
      <c r="G71" s="294"/>
      <c r="H71" s="294"/>
      <c r="I71" s="294"/>
      <c r="L71" s="294"/>
      <c r="O71" s="294"/>
      <c r="T71" s="566"/>
      <c r="U71" s="566"/>
      <c r="V71" s="566"/>
      <c r="W71" s="566"/>
      <c r="X71" s="566"/>
      <c r="Y71" s="566"/>
      <c r="Z71" s="566"/>
      <c r="AA71" s="566"/>
      <c r="AB71" s="566"/>
      <c r="AC71" s="566"/>
      <c r="AD71" s="566"/>
    </row>
    <row r="72" spans="1:30" s="295" customFormat="1" ht="15" customHeight="1">
      <c r="A72" s="295" t="s">
        <v>167</v>
      </c>
      <c r="B72" s="296">
        <f>B14</f>
        <v>500</v>
      </c>
      <c r="C72" s="296"/>
      <c r="D72" s="296"/>
      <c r="E72" s="296"/>
      <c r="F72" s="296"/>
      <c r="G72" s="296"/>
      <c r="H72" s="296"/>
      <c r="I72" s="296"/>
      <c r="L72" s="296"/>
      <c r="O72" s="296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</row>
    <row r="73" spans="1:30" s="293" customFormat="1" ht="15" customHeight="1">
      <c r="A73" s="293" t="s">
        <v>160</v>
      </c>
      <c r="B73" s="294">
        <f>B63*B74/B16</f>
        <v>279.3857912060414</v>
      </c>
      <c r="C73" s="294">
        <f t="shared" ref="C73:K73" si="24">C63*C74/C16</f>
        <v>278.8116166880306</v>
      </c>
      <c r="D73" s="294">
        <f t="shared" si="24"/>
        <v>277.50165851079595</v>
      </c>
      <c r="E73" s="294">
        <f t="shared" si="24"/>
        <v>276.89953825313859</v>
      </c>
      <c r="F73" s="294">
        <f t="shared" si="24"/>
        <v>276.27505607436836</v>
      </c>
      <c r="G73" s="294">
        <f t="shared" si="24"/>
        <v>275.42041057063909</v>
      </c>
      <c r="H73" s="294">
        <f t="shared" si="24"/>
        <v>274.65926571392475</v>
      </c>
      <c r="I73" s="294">
        <f t="shared" si="24"/>
        <v>274.20956014655383</v>
      </c>
      <c r="J73" s="293">
        <f t="shared" si="24"/>
        <v>273.97881360017669</v>
      </c>
      <c r="K73" s="293">
        <f t="shared" si="24"/>
        <v>273.77447990574603</v>
      </c>
      <c r="L73" s="294" t="e">
        <f t="shared" ref="L73:Q73" si="25">L63*L74/L16</f>
        <v>#DIV/0!</v>
      </c>
      <c r="M73" s="293" t="e">
        <f t="shared" si="25"/>
        <v>#DIV/0!</v>
      </c>
      <c r="N73" s="293" t="e">
        <f t="shared" si="25"/>
        <v>#DIV/0!</v>
      </c>
      <c r="O73" s="294" t="e">
        <f t="shared" si="25"/>
        <v>#DIV/0!</v>
      </c>
      <c r="P73" s="293" t="e">
        <f t="shared" si="25"/>
        <v>#DIV/0!</v>
      </c>
      <c r="Q73" s="293" t="e">
        <f t="shared" si="25"/>
        <v>#DIV/0!</v>
      </c>
      <c r="T73" s="566"/>
      <c r="U73" s="566"/>
      <c r="V73" s="566"/>
      <c r="W73" s="566"/>
      <c r="X73" s="566"/>
      <c r="Y73" s="566"/>
      <c r="Z73" s="566"/>
      <c r="AA73" s="566"/>
      <c r="AB73" s="566"/>
      <c r="AC73" s="566"/>
      <c r="AD73" s="566"/>
    </row>
    <row r="74" spans="1:30" s="293" customFormat="1" ht="15" customHeight="1">
      <c r="A74" s="293" t="s">
        <v>168</v>
      </c>
      <c r="B74" s="294">
        <f>B16*B14/B70</f>
        <v>24.544777155422672</v>
      </c>
      <c r="C74" s="294">
        <f t="shared" ref="C74:K74" si="26">C16*C14/C70</f>
        <v>27.131416553164925</v>
      </c>
      <c r="D74" s="294">
        <f t="shared" si="26"/>
        <v>29.619702888215041</v>
      </c>
      <c r="E74" s="294">
        <f t="shared" si="26"/>
        <v>33.473228465647431</v>
      </c>
      <c r="F74" s="294">
        <f t="shared" si="26"/>
        <v>38.652365387804608</v>
      </c>
      <c r="G74" s="294">
        <f t="shared" si="26"/>
        <v>45.012603913397044</v>
      </c>
      <c r="H74" s="294">
        <f t="shared" si="26"/>
        <v>51.15068930963433</v>
      </c>
      <c r="I74" s="294">
        <f t="shared" si="26"/>
        <v>57.339208730340616</v>
      </c>
      <c r="J74" s="293">
        <f t="shared" si="26"/>
        <v>66.141263593834054</v>
      </c>
      <c r="K74" s="293">
        <f t="shared" si="26"/>
        <v>77.31688597113002</v>
      </c>
      <c r="L74" s="294" t="e">
        <f t="shared" ref="L74:Q74" si="27">L16*L14/L70</f>
        <v>#DIV/0!</v>
      </c>
      <c r="M74" s="293" t="e">
        <f t="shared" si="27"/>
        <v>#DIV/0!</v>
      </c>
      <c r="N74" s="293" t="e">
        <f t="shared" si="27"/>
        <v>#DIV/0!</v>
      </c>
      <c r="O74" s="294" t="e">
        <f t="shared" si="27"/>
        <v>#DIV/0!</v>
      </c>
      <c r="P74" s="293" t="e">
        <f t="shared" si="27"/>
        <v>#DIV/0!</v>
      </c>
      <c r="Q74" s="293" t="e">
        <f t="shared" si="27"/>
        <v>#DIV/0!</v>
      </c>
      <c r="T74" s="566"/>
      <c r="U74" s="566"/>
      <c r="V74" s="566"/>
      <c r="W74" s="566"/>
      <c r="X74" s="566"/>
      <c r="Y74" s="566"/>
      <c r="Z74" s="566"/>
      <c r="AA74" s="566"/>
      <c r="AB74" s="566"/>
      <c r="AC74" s="566"/>
      <c r="AD74" s="566"/>
    </row>
    <row r="75" spans="1:30" s="293" customFormat="1" ht="15" customHeight="1">
      <c r="A75" s="293" t="s">
        <v>169</v>
      </c>
      <c r="B75" s="294">
        <f>ROUND(B74,0)</f>
        <v>25</v>
      </c>
      <c r="C75" s="294">
        <f t="shared" ref="C75:K75" si="28">ROUND(C74,0)</f>
        <v>27</v>
      </c>
      <c r="D75" s="294">
        <f t="shared" si="28"/>
        <v>30</v>
      </c>
      <c r="E75" s="294">
        <f t="shared" si="28"/>
        <v>33</v>
      </c>
      <c r="F75" s="294">
        <f t="shared" si="28"/>
        <v>39</v>
      </c>
      <c r="G75" s="294">
        <f t="shared" si="28"/>
        <v>45</v>
      </c>
      <c r="H75" s="294">
        <f t="shared" si="28"/>
        <v>51</v>
      </c>
      <c r="I75" s="294">
        <f t="shared" si="28"/>
        <v>57</v>
      </c>
      <c r="J75" s="293">
        <f t="shared" si="28"/>
        <v>66</v>
      </c>
      <c r="K75" s="293">
        <f t="shared" si="28"/>
        <v>77</v>
      </c>
      <c r="L75" s="294" t="e">
        <f t="shared" ref="L75:Q75" si="29">ROUND(L74,0)</f>
        <v>#DIV/0!</v>
      </c>
      <c r="M75" s="293" t="e">
        <f t="shared" si="29"/>
        <v>#DIV/0!</v>
      </c>
      <c r="N75" s="293" t="e">
        <f t="shared" si="29"/>
        <v>#DIV/0!</v>
      </c>
      <c r="O75" s="294" t="e">
        <f t="shared" si="29"/>
        <v>#DIV/0!</v>
      </c>
      <c r="P75" s="293" t="e">
        <f t="shared" si="29"/>
        <v>#DIV/0!</v>
      </c>
      <c r="Q75" s="293" t="e">
        <f t="shared" si="29"/>
        <v>#DIV/0!</v>
      </c>
      <c r="T75" s="566"/>
      <c r="U75" s="566"/>
      <c r="V75" s="566"/>
      <c r="W75" s="566"/>
      <c r="X75" s="566"/>
      <c r="Y75" s="566"/>
      <c r="Z75" s="566"/>
      <c r="AA75" s="566"/>
      <c r="AB75" s="566"/>
      <c r="AC75" s="566"/>
      <c r="AD75" s="566"/>
    </row>
    <row r="76" spans="1:30" s="293" customFormat="1" ht="15" customHeight="1">
      <c r="A76" s="293" t="s">
        <v>170</v>
      </c>
      <c r="B76" s="294">
        <f>B75*120/B10+B61</f>
        <v>512.42000000000007</v>
      </c>
      <c r="C76" s="294">
        <f>C75*120/U12+C61</f>
        <v>552.55999999999995</v>
      </c>
      <c r="D76" s="294">
        <f>D75*120/V12+D61</f>
        <v>612.14400000000001</v>
      </c>
      <c r="E76" s="294">
        <f t="shared" ref="E76:K76" si="30">E75*120/E10+E61</f>
        <v>672.25</v>
      </c>
      <c r="F76" s="294">
        <f t="shared" si="30"/>
        <v>792.52800000000002</v>
      </c>
      <c r="G76" s="294">
        <f t="shared" si="30"/>
        <v>912.51199999999994</v>
      </c>
      <c r="H76" s="294">
        <f t="shared" si="30"/>
        <v>1032.0900000000001</v>
      </c>
      <c r="I76" s="294">
        <f t="shared" si="30"/>
        <v>1151.44</v>
      </c>
      <c r="J76" s="294">
        <f t="shared" si="30"/>
        <v>1331.0160000000001</v>
      </c>
      <c r="K76" s="294">
        <f t="shared" si="30"/>
        <v>1550.2</v>
      </c>
      <c r="L76" s="294" t="e">
        <f t="shared" ref="L76:Q76" si="31">L75*120/L10+L61</f>
        <v>#DIV/0!</v>
      </c>
      <c r="M76" s="294" t="e">
        <f t="shared" si="31"/>
        <v>#DIV/0!</v>
      </c>
      <c r="N76" s="294" t="e">
        <f t="shared" si="31"/>
        <v>#DIV/0!</v>
      </c>
      <c r="O76" s="294" t="e">
        <f t="shared" si="31"/>
        <v>#DIV/0!</v>
      </c>
      <c r="P76" s="294" t="e">
        <f t="shared" si="31"/>
        <v>#DIV/0!</v>
      </c>
      <c r="Q76" s="294" t="e">
        <f t="shared" si="31"/>
        <v>#DIV/0!</v>
      </c>
      <c r="T76" s="566"/>
      <c r="U76" s="566"/>
      <c r="V76" s="566"/>
      <c r="W76" s="566"/>
      <c r="X76" s="566"/>
      <c r="Y76" s="566"/>
      <c r="Z76" s="566"/>
      <c r="AA76" s="566"/>
      <c r="AB76" s="566"/>
      <c r="AC76" s="566"/>
      <c r="AD76" s="566"/>
    </row>
    <row r="77" spans="1:30" s="293" customFormat="1" ht="15" customHeight="1">
      <c r="A77" s="293" t="s">
        <v>171</v>
      </c>
      <c r="B77" s="294">
        <f>B11</f>
        <v>6200</v>
      </c>
      <c r="C77" s="294">
        <f t="shared" ref="C77:K77" si="32">C11</f>
        <v>6200</v>
      </c>
      <c r="D77" s="294">
        <f t="shared" si="32"/>
        <v>6200</v>
      </c>
      <c r="E77" s="294">
        <f t="shared" si="32"/>
        <v>6200</v>
      </c>
      <c r="F77" s="294">
        <f t="shared" si="32"/>
        <v>6200</v>
      </c>
      <c r="G77" s="294">
        <f t="shared" si="32"/>
        <v>6200</v>
      </c>
      <c r="H77" s="294">
        <f t="shared" si="32"/>
        <v>6200</v>
      </c>
      <c r="I77" s="294">
        <f t="shared" si="32"/>
        <v>5900</v>
      </c>
      <c r="J77" s="293">
        <f t="shared" si="32"/>
        <v>5600</v>
      </c>
      <c r="K77" s="293">
        <f t="shared" si="32"/>
        <v>5200</v>
      </c>
      <c r="L77" s="294">
        <f t="shared" ref="L77:Q77" si="33">L11</f>
        <v>0</v>
      </c>
      <c r="M77" s="293">
        <f t="shared" si="33"/>
        <v>0</v>
      </c>
      <c r="N77" s="293">
        <f t="shared" si="33"/>
        <v>0</v>
      </c>
      <c r="O77" s="294">
        <f t="shared" si="33"/>
        <v>0</v>
      </c>
      <c r="P77" s="293">
        <f t="shared" si="33"/>
        <v>0</v>
      </c>
      <c r="Q77" s="293">
        <f t="shared" si="33"/>
        <v>0</v>
      </c>
      <c r="T77" s="566"/>
      <c r="U77" s="566"/>
      <c r="V77" s="566"/>
      <c r="W77" s="566"/>
      <c r="X77" s="566"/>
      <c r="Y77" s="566"/>
      <c r="Z77" s="566"/>
      <c r="AA77" s="566"/>
      <c r="AB77" s="566"/>
      <c r="AC77" s="566"/>
      <c r="AD77" s="566"/>
    </row>
    <row r="78" spans="1:30" s="293" customFormat="1" ht="15" customHeight="1">
      <c r="A78" s="293" t="s">
        <v>172</v>
      </c>
      <c r="B78" s="294">
        <f>B76*B77*PI()/30000</f>
        <v>332.69508089417963</v>
      </c>
      <c r="C78" s="294">
        <f t="shared" ref="C78:K78" si="34">C76*C77*PI()/30000</f>
        <v>358.75647691129899</v>
      </c>
      <c r="D78" s="294">
        <f t="shared" si="34"/>
        <v>397.44213262340787</v>
      </c>
      <c r="E78" s="294">
        <f t="shared" si="34"/>
        <v>436.46670335098594</v>
      </c>
      <c r="F78" s="294">
        <f t="shared" si="34"/>
        <v>514.55869612993706</v>
      </c>
      <c r="G78" s="294">
        <f t="shared" si="34"/>
        <v>592.45980573925601</v>
      </c>
      <c r="H78" s="294">
        <f t="shared" si="34"/>
        <v>670.09731478098797</v>
      </c>
      <c r="I78" s="294">
        <f t="shared" si="34"/>
        <v>711.41323752638823</v>
      </c>
      <c r="J78" s="293">
        <f t="shared" si="34"/>
        <v>780.54854964995479</v>
      </c>
      <c r="K78" s="293">
        <f t="shared" si="34"/>
        <v>844.15013480978223</v>
      </c>
      <c r="L78" s="294" t="e">
        <f t="shared" ref="L78:Q78" si="35">L76*L77*PI()/30000</f>
        <v>#DIV/0!</v>
      </c>
      <c r="M78" s="293" t="e">
        <f t="shared" si="35"/>
        <v>#DIV/0!</v>
      </c>
      <c r="N78" s="293" t="e">
        <f t="shared" si="35"/>
        <v>#DIV/0!</v>
      </c>
      <c r="O78" s="294" t="e">
        <f t="shared" si="35"/>
        <v>#DIV/0!</v>
      </c>
      <c r="P78" s="293" t="e">
        <f t="shared" si="35"/>
        <v>#DIV/0!</v>
      </c>
      <c r="Q78" s="293" t="e">
        <f t="shared" si="35"/>
        <v>#DIV/0!</v>
      </c>
      <c r="T78" s="566"/>
      <c r="U78" s="566"/>
      <c r="V78" s="566"/>
      <c r="W78" s="566"/>
      <c r="X78" s="566"/>
      <c r="Y78" s="566"/>
      <c r="Z78" s="566"/>
      <c r="AA78" s="566"/>
      <c r="AB78" s="566"/>
      <c r="AC78" s="566"/>
      <c r="AD78" s="566"/>
    </row>
    <row r="79" spans="1:30" s="293" customFormat="1" ht="15" customHeight="1">
      <c r="A79" s="293" t="s">
        <v>173</v>
      </c>
      <c r="B79" s="294">
        <f>(3*B23/1000*B15^2+3*B73^2/B25+3*B24/1000*(B15^2-B32^2)+100)/1000</f>
        <v>24.153460005616434</v>
      </c>
      <c r="C79" s="294">
        <f t="shared" ref="C79:K79" si="36">(3*C23/1000*C15^2+3*C73^2/C25+3*C24/1000*(C15^2-C32^2)+100)/1000</f>
        <v>24.668147103103539</v>
      </c>
      <c r="D79" s="294">
        <f t="shared" si="36"/>
        <v>24.970815642051182</v>
      </c>
      <c r="E79" s="294">
        <f t="shared" si="36"/>
        <v>25.705611237344844</v>
      </c>
      <c r="F79" s="294">
        <f t="shared" si="36"/>
        <v>27.002042981114322</v>
      </c>
      <c r="G79" s="294">
        <f t="shared" si="36"/>
        <v>28.242302197151087</v>
      </c>
      <c r="H79" s="294">
        <f t="shared" si="36"/>
        <v>29.777869189774879</v>
      </c>
      <c r="I79" s="294">
        <f t="shared" si="36"/>
        <v>29.705491670405909</v>
      </c>
      <c r="J79" s="293">
        <f t="shared" si="36"/>
        <v>30.697085594866877</v>
      </c>
      <c r="K79" s="293">
        <f t="shared" si="36"/>
        <v>31.979435838001766</v>
      </c>
      <c r="L79" s="294" t="e">
        <f t="shared" ref="L79:Q79" si="37">(3*L23/1000*L15^2+3*L73^2/L25+3*L24/1000*(L15^2-L32^2)+100)/1000</f>
        <v>#DIV/0!</v>
      </c>
      <c r="M79" s="293" t="e">
        <f t="shared" si="37"/>
        <v>#DIV/0!</v>
      </c>
      <c r="N79" s="293" t="e">
        <f t="shared" si="37"/>
        <v>#DIV/0!</v>
      </c>
      <c r="O79" s="294" t="e">
        <f t="shared" si="37"/>
        <v>#DIV/0!</v>
      </c>
      <c r="P79" s="293" t="e">
        <f t="shared" si="37"/>
        <v>#DIV/0!</v>
      </c>
      <c r="Q79" s="293" t="e">
        <f t="shared" si="37"/>
        <v>#DIV/0!</v>
      </c>
      <c r="T79" s="566"/>
      <c r="U79" s="566"/>
      <c r="V79" s="566"/>
      <c r="W79" s="566"/>
      <c r="X79" s="566"/>
      <c r="Y79" s="566"/>
      <c r="Z79" s="566"/>
      <c r="AA79" s="566"/>
      <c r="AB79" s="566"/>
      <c r="AC79" s="566"/>
      <c r="AD79" s="566"/>
    </row>
    <row r="80" spans="1:30" s="293" customFormat="1" ht="15" customHeight="1">
      <c r="A80" s="293" t="s">
        <v>174</v>
      </c>
      <c r="B80" s="294">
        <f>B78-B79</f>
        <v>308.54162088856322</v>
      </c>
      <c r="C80" s="294">
        <f t="shared" ref="C80:K80" si="38">C78-C79</f>
        <v>334.08832980819545</v>
      </c>
      <c r="D80" s="294">
        <f t="shared" si="38"/>
        <v>372.47131698135667</v>
      </c>
      <c r="E80" s="294">
        <f t="shared" si="38"/>
        <v>410.7610921136411</v>
      </c>
      <c r="F80" s="294">
        <f t="shared" si="38"/>
        <v>487.55665314882276</v>
      </c>
      <c r="G80" s="294">
        <f t="shared" si="38"/>
        <v>564.21750354210496</v>
      </c>
      <c r="H80" s="294">
        <f t="shared" si="38"/>
        <v>640.31944559121314</v>
      </c>
      <c r="I80" s="294">
        <f t="shared" si="38"/>
        <v>681.70774585598235</v>
      </c>
      <c r="J80" s="293">
        <f t="shared" si="38"/>
        <v>749.85146405508794</v>
      </c>
      <c r="K80" s="293">
        <f t="shared" si="38"/>
        <v>812.17069897178044</v>
      </c>
      <c r="L80" s="294" t="e">
        <f t="shared" ref="L80:Q80" si="39">L78-L79</f>
        <v>#DIV/0!</v>
      </c>
      <c r="M80" s="293" t="e">
        <f t="shared" si="39"/>
        <v>#DIV/0!</v>
      </c>
      <c r="N80" s="293" t="e">
        <f t="shared" si="39"/>
        <v>#DIV/0!</v>
      </c>
      <c r="O80" s="294" t="e">
        <f t="shared" si="39"/>
        <v>#DIV/0!</v>
      </c>
      <c r="P80" s="293" t="e">
        <f t="shared" si="39"/>
        <v>#DIV/0!</v>
      </c>
      <c r="Q80" s="293" t="e">
        <f t="shared" si="39"/>
        <v>#DIV/0!</v>
      </c>
      <c r="T80" s="566"/>
      <c r="U80" s="566"/>
      <c r="V80" s="566"/>
      <c r="W80" s="566"/>
      <c r="X80" s="566"/>
      <c r="Y80" s="566"/>
      <c r="Z80" s="566"/>
      <c r="AA80" s="566"/>
      <c r="AB80" s="566"/>
      <c r="AC80" s="566"/>
      <c r="AD80" s="566"/>
    </row>
    <row r="81" spans="1:30" s="293" customFormat="1" ht="15" customHeight="1">
      <c r="A81" s="293" t="s">
        <v>175</v>
      </c>
      <c r="B81" s="294">
        <f>B80/B78</f>
        <v>0.92740060976946359</v>
      </c>
      <c r="C81" s="294">
        <f t="shared" ref="C81:K81" si="40">C80/C78</f>
        <v>0.93123985574983048</v>
      </c>
      <c r="D81" s="294">
        <f t="shared" si="40"/>
        <v>0.9371711914959151</v>
      </c>
      <c r="E81" s="294">
        <f t="shared" si="40"/>
        <v>0.94110521824462379</v>
      </c>
      <c r="F81" s="294">
        <f t="shared" si="40"/>
        <v>0.94752388175693036</v>
      </c>
      <c r="G81" s="294">
        <f t="shared" si="40"/>
        <v>0.95233043334997036</v>
      </c>
      <c r="H81" s="294">
        <f t="shared" si="40"/>
        <v>0.95556187357726197</v>
      </c>
      <c r="I81" s="294">
        <f t="shared" si="40"/>
        <v>0.95824439284586127</v>
      </c>
      <c r="J81" s="293">
        <f t="shared" si="40"/>
        <v>0.96067241991720653</v>
      </c>
      <c r="K81" s="293">
        <f t="shared" si="40"/>
        <v>0.96211641209391274</v>
      </c>
      <c r="L81" s="294" t="e">
        <f t="shared" ref="L81:Q81" si="41">L80/L78</f>
        <v>#DIV/0!</v>
      </c>
      <c r="M81" s="293" t="e">
        <f t="shared" si="41"/>
        <v>#DIV/0!</v>
      </c>
      <c r="N81" s="293" t="e">
        <f t="shared" si="41"/>
        <v>#DIV/0!</v>
      </c>
      <c r="O81" s="294" t="e">
        <f t="shared" si="41"/>
        <v>#DIV/0!</v>
      </c>
      <c r="P81" s="293" t="e">
        <f t="shared" si="41"/>
        <v>#DIV/0!</v>
      </c>
      <c r="Q81" s="293" t="e">
        <f t="shared" si="41"/>
        <v>#DIV/0!</v>
      </c>
      <c r="T81" s="566"/>
      <c r="U81" s="566"/>
      <c r="V81" s="566"/>
      <c r="W81" s="566"/>
      <c r="X81" s="566"/>
      <c r="Y81" s="566"/>
      <c r="Z81" s="566"/>
      <c r="AA81" s="566"/>
      <c r="AB81" s="566"/>
      <c r="AC81" s="566"/>
      <c r="AD81" s="566"/>
    </row>
    <row r="82" spans="1:30" s="293" customFormat="1" ht="15" customHeight="1">
      <c r="A82" s="293" t="s">
        <v>176</v>
      </c>
      <c r="B82" s="294">
        <f>B80*1000/3^0.5/B14/B15</f>
        <v>0.84106158221216309</v>
      </c>
      <c r="C82" s="294">
        <f t="shared" ref="C82:K82" si="42">C80*1000/3^0.5/C14/C15</f>
        <v>0.82751515550341292</v>
      </c>
      <c r="D82" s="294">
        <f t="shared" si="42"/>
        <v>0.83406148227951982</v>
      </c>
      <c r="E82" s="294">
        <f t="shared" si="42"/>
        <v>0.817415310491304</v>
      </c>
      <c r="F82" s="294">
        <f t="shared" si="42"/>
        <v>0.84451777786754079</v>
      </c>
      <c r="G82" s="294">
        <f t="shared" si="42"/>
        <v>0.83776056573214319</v>
      </c>
      <c r="H82" s="294">
        <f t="shared" si="42"/>
        <v>0.82955354773603751</v>
      </c>
      <c r="I82" s="294">
        <f t="shared" si="42"/>
        <v>0.81965873129095246</v>
      </c>
      <c r="J82" s="293">
        <f t="shared" si="42"/>
        <v>0.82013691068521133</v>
      </c>
      <c r="K82" s="293">
        <f t="shared" si="42"/>
        <v>0.80923098957651496</v>
      </c>
      <c r="L82" s="294" t="e">
        <f t="shared" ref="L82:Q82" si="43">L80*1000/3^0.5/L14/L15</f>
        <v>#DIV/0!</v>
      </c>
      <c r="M82" s="293" t="e">
        <f t="shared" si="43"/>
        <v>#DIV/0!</v>
      </c>
      <c r="N82" s="293" t="e">
        <f t="shared" si="43"/>
        <v>#DIV/0!</v>
      </c>
      <c r="O82" s="294" t="e">
        <f t="shared" si="43"/>
        <v>#DIV/0!</v>
      </c>
      <c r="P82" s="293" t="e">
        <f t="shared" si="43"/>
        <v>#DIV/0!</v>
      </c>
      <c r="Q82" s="293" t="e">
        <f t="shared" si="43"/>
        <v>#DIV/0!</v>
      </c>
      <c r="T82" s="566"/>
      <c r="U82" s="566"/>
      <c r="V82" s="566"/>
      <c r="W82" s="566"/>
      <c r="X82" s="566"/>
      <c r="Y82" s="566"/>
      <c r="Z82" s="566"/>
      <c r="AA82" s="566"/>
      <c r="AB82" s="566"/>
      <c r="AC82" s="566"/>
      <c r="AD82" s="566"/>
    </row>
    <row r="83" spans="1:30" s="283" customFormat="1" ht="15" customHeight="1">
      <c r="B83" s="282"/>
      <c r="C83" s="282"/>
      <c r="D83" s="282"/>
      <c r="E83" s="282"/>
      <c r="F83" s="282"/>
      <c r="G83" s="282"/>
      <c r="H83" s="282"/>
      <c r="I83" s="282"/>
      <c r="T83" s="233"/>
      <c r="U83" s="233"/>
      <c r="V83" s="233"/>
      <c r="W83" s="233"/>
      <c r="X83" s="233"/>
      <c r="Y83" s="233"/>
      <c r="Z83" s="233"/>
      <c r="AA83" s="233"/>
      <c r="AB83" s="233"/>
      <c r="AC83" s="233"/>
      <c r="AD83" s="233"/>
    </row>
    <row r="84" spans="1:30" s="280" customFormat="1" ht="15" customHeight="1">
      <c r="A84" s="283"/>
      <c r="B84" s="282"/>
      <c r="C84" s="282"/>
      <c r="D84" s="282"/>
      <c r="E84" s="282"/>
      <c r="F84" s="282"/>
      <c r="G84" s="282"/>
      <c r="H84" s="282"/>
      <c r="I84" s="282"/>
      <c r="J84" s="283"/>
      <c r="K84" s="283"/>
      <c r="L84" s="283"/>
      <c r="M84" s="283"/>
      <c r="N84" s="283"/>
      <c r="O84" s="283"/>
      <c r="P84" s="283"/>
      <c r="Q84" s="283"/>
      <c r="R84" s="283"/>
      <c r="S84" s="283"/>
      <c r="T84" s="233"/>
      <c r="U84" s="233"/>
      <c r="V84" s="233"/>
      <c r="W84" s="233"/>
      <c r="X84" s="233"/>
      <c r="Y84" s="233"/>
      <c r="Z84" s="233"/>
      <c r="AA84" s="233"/>
      <c r="AB84" s="233"/>
      <c r="AC84" s="233"/>
      <c r="AD84" s="233"/>
    </row>
    <row r="85" spans="1:30" s="280" customFormat="1" ht="15" customHeight="1">
      <c r="A85" s="283"/>
      <c r="B85" s="282"/>
      <c r="C85" s="282"/>
      <c r="D85" s="282"/>
      <c r="E85" s="282"/>
      <c r="F85" s="282"/>
      <c r="G85" s="282"/>
      <c r="H85" s="282"/>
      <c r="I85" s="282"/>
      <c r="J85" s="283"/>
      <c r="K85" s="283"/>
      <c r="L85" s="283"/>
      <c r="M85" s="283"/>
      <c r="N85" s="283"/>
      <c r="O85" s="283"/>
      <c r="P85" s="283"/>
      <c r="Q85" s="283"/>
      <c r="R85" s="283"/>
      <c r="S85" s="283"/>
      <c r="T85" s="233"/>
      <c r="U85" s="233"/>
      <c r="V85" s="233"/>
      <c r="W85" s="233"/>
      <c r="X85" s="233"/>
      <c r="Y85" s="233"/>
      <c r="Z85" s="233"/>
      <c r="AA85" s="233"/>
      <c r="AB85" s="233"/>
      <c r="AC85" s="233"/>
      <c r="AD85" s="233"/>
    </row>
    <row r="86" spans="1:30" s="280" customFormat="1" ht="15" customHeight="1">
      <c r="A86" s="283"/>
      <c r="B86" s="282"/>
      <c r="C86" s="282"/>
      <c r="D86" s="282"/>
      <c r="E86" s="282"/>
      <c r="F86" s="282"/>
      <c r="G86" s="282"/>
      <c r="H86" s="282"/>
      <c r="I86" s="282"/>
      <c r="J86" s="283"/>
      <c r="K86" s="283"/>
      <c r="L86" s="283"/>
      <c r="M86" s="283"/>
      <c r="N86" s="283"/>
      <c r="O86" s="283"/>
      <c r="P86" s="283"/>
      <c r="Q86" s="283"/>
      <c r="R86" s="283"/>
      <c r="S86" s="283"/>
      <c r="T86" s="233"/>
      <c r="U86" s="233"/>
      <c r="V86" s="233"/>
      <c r="W86" s="233"/>
      <c r="X86" s="233"/>
      <c r="Y86" s="233"/>
      <c r="Z86" s="233"/>
      <c r="AA86" s="233"/>
      <c r="AB86" s="233"/>
      <c r="AC86" s="233"/>
      <c r="AD86" s="233"/>
    </row>
    <row r="87" spans="1:30" s="280" customFormat="1" ht="15" customHeight="1">
      <c r="A87" s="283"/>
      <c r="B87" s="282"/>
      <c r="C87" s="282"/>
      <c r="D87" s="282"/>
      <c r="E87" s="282"/>
      <c r="F87" s="282"/>
      <c r="G87" s="282"/>
      <c r="H87" s="282"/>
      <c r="I87" s="282"/>
      <c r="J87" s="283"/>
      <c r="K87" s="283"/>
      <c r="L87" s="283"/>
      <c r="M87" s="283"/>
      <c r="N87" s="283"/>
      <c r="O87" s="283"/>
      <c r="P87" s="283"/>
      <c r="Q87" s="283"/>
      <c r="R87" s="283"/>
      <c r="S87" s="283"/>
      <c r="T87" s="233"/>
      <c r="U87" s="233"/>
      <c r="V87" s="233"/>
      <c r="W87" s="233"/>
      <c r="X87" s="233"/>
      <c r="Y87" s="233"/>
      <c r="Z87" s="233"/>
      <c r="AA87" s="233"/>
      <c r="AB87" s="233"/>
      <c r="AC87" s="233"/>
      <c r="AD87" s="233"/>
    </row>
    <row r="88" spans="1:30" s="280" customFormat="1" ht="15" customHeight="1">
      <c r="A88" s="233"/>
      <c r="B88" s="237"/>
      <c r="C88" s="237"/>
      <c r="D88" s="237"/>
      <c r="E88" s="237"/>
      <c r="F88" s="237"/>
      <c r="G88" s="237"/>
      <c r="H88" s="237"/>
      <c r="I88" s="237"/>
      <c r="J88" s="233"/>
      <c r="K88" s="233"/>
      <c r="L88" s="233"/>
      <c r="M88" s="233"/>
      <c r="N88" s="233"/>
      <c r="O88" s="233"/>
      <c r="P88" s="233"/>
      <c r="Q88" s="233"/>
      <c r="R88" s="233"/>
      <c r="S88" s="233"/>
      <c r="T88" s="233"/>
      <c r="U88" s="233"/>
      <c r="V88" s="233"/>
      <c r="W88" s="233"/>
      <c r="X88" s="233"/>
      <c r="Y88" s="233"/>
      <c r="Z88" s="233"/>
      <c r="AA88" s="233"/>
      <c r="AB88" s="233"/>
      <c r="AC88" s="233"/>
      <c r="AD88" s="233"/>
    </row>
    <row r="89" spans="1:30" s="280" customFormat="1" ht="15" customHeight="1">
      <c r="A89" s="233"/>
      <c r="B89" s="237"/>
      <c r="C89" s="237"/>
      <c r="D89" s="237"/>
      <c r="E89" s="237"/>
      <c r="F89" s="237"/>
      <c r="G89" s="237"/>
      <c r="H89" s="237"/>
      <c r="I89" s="237"/>
      <c r="J89" s="233"/>
      <c r="K89" s="233"/>
      <c r="L89" s="233"/>
      <c r="M89" s="233"/>
      <c r="N89" s="233"/>
      <c r="O89" s="233"/>
      <c r="P89" s="233"/>
      <c r="Q89" s="233"/>
      <c r="R89" s="233"/>
      <c r="S89" s="233"/>
      <c r="T89" s="233"/>
      <c r="U89" s="233"/>
      <c r="V89" s="233"/>
      <c r="W89" s="233"/>
      <c r="X89" s="233"/>
      <c r="Y89" s="233"/>
      <c r="Z89" s="233"/>
      <c r="AA89" s="233"/>
      <c r="AB89" s="233"/>
      <c r="AC89" s="233"/>
      <c r="AD89" s="233"/>
    </row>
    <row r="90" spans="1:30" s="280" customFormat="1" ht="15" customHeight="1">
      <c r="A90" s="233"/>
      <c r="B90" s="237"/>
      <c r="C90" s="237"/>
      <c r="D90" s="237"/>
      <c r="E90" s="237"/>
      <c r="F90" s="237"/>
      <c r="G90" s="237"/>
      <c r="H90" s="237"/>
      <c r="I90" s="237"/>
      <c r="J90" s="233"/>
      <c r="K90" s="233"/>
      <c r="L90" s="233"/>
      <c r="M90" s="233"/>
      <c r="N90" s="233"/>
      <c r="O90" s="233"/>
      <c r="P90" s="233"/>
      <c r="Q90" s="233"/>
      <c r="R90" s="233"/>
      <c r="S90" s="233"/>
      <c r="T90" s="233"/>
      <c r="U90" s="233"/>
      <c r="V90" s="233"/>
      <c r="W90" s="233"/>
      <c r="X90" s="233"/>
      <c r="Y90" s="233"/>
      <c r="Z90" s="233"/>
      <c r="AA90" s="233"/>
      <c r="AB90" s="233"/>
      <c r="AC90" s="233"/>
      <c r="AD90" s="233"/>
    </row>
    <row r="91" spans="1:30" s="280" customFormat="1" ht="15" customHeight="1">
      <c r="A91" s="233"/>
      <c r="B91" s="237"/>
      <c r="C91" s="237"/>
      <c r="D91" s="237"/>
      <c r="E91" s="237"/>
      <c r="F91" s="237"/>
      <c r="G91" s="237"/>
      <c r="H91" s="237"/>
      <c r="I91" s="237"/>
      <c r="J91" s="233"/>
      <c r="K91" s="233"/>
      <c r="L91" s="233"/>
      <c r="M91" s="233"/>
      <c r="N91" s="233"/>
      <c r="O91" s="233"/>
      <c r="P91" s="233"/>
      <c r="Q91" s="233"/>
      <c r="R91" s="233"/>
      <c r="S91" s="233"/>
      <c r="T91" s="233"/>
      <c r="U91" s="233"/>
      <c r="V91" s="233"/>
      <c r="W91" s="233"/>
      <c r="X91" s="233"/>
      <c r="Y91" s="233"/>
      <c r="Z91" s="233"/>
      <c r="AA91" s="233"/>
      <c r="AB91" s="233"/>
      <c r="AC91" s="233"/>
      <c r="AD91" s="233"/>
    </row>
    <row r="92" spans="1:30" s="280" customFormat="1" ht="15" customHeight="1">
      <c r="A92" s="233"/>
      <c r="B92" s="237"/>
      <c r="C92" s="237"/>
      <c r="D92" s="237"/>
      <c r="E92" s="237"/>
      <c r="F92" s="237"/>
      <c r="G92" s="237"/>
      <c r="H92" s="237"/>
      <c r="I92" s="237"/>
      <c r="J92" s="233"/>
      <c r="K92" s="233"/>
      <c r="L92" s="233"/>
      <c r="M92" s="233"/>
      <c r="N92" s="233"/>
      <c r="O92" s="233"/>
      <c r="P92" s="233"/>
      <c r="Q92" s="233"/>
      <c r="R92" s="233"/>
      <c r="S92" s="233"/>
      <c r="T92" s="233"/>
      <c r="U92" s="233"/>
      <c r="V92" s="233"/>
      <c r="W92" s="233"/>
      <c r="X92" s="233"/>
      <c r="Y92" s="233"/>
      <c r="Z92" s="233"/>
      <c r="AA92" s="233"/>
      <c r="AB92" s="233"/>
      <c r="AC92" s="233"/>
      <c r="AD92" s="233"/>
    </row>
    <row r="93" spans="1:30" s="280" customFormat="1" ht="15" customHeight="1">
      <c r="A93" s="233"/>
      <c r="B93" s="237"/>
      <c r="C93" s="237"/>
      <c r="D93" s="237"/>
      <c r="E93" s="237"/>
      <c r="F93" s="237"/>
      <c r="G93" s="237"/>
      <c r="H93" s="237"/>
      <c r="I93" s="237"/>
      <c r="J93" s="233"/>
      <c r="K93" s="233"/>
      <c r="L93" s="233"/>
      <c r="M93" s="233"/>
      <c r="N93" s="233"/>
      <c r="O93" s="233"/>
      <c r="P93" s="233"/>
      <c r="Q93" s="233"/>
      <c r="R93" s="233"/>
      <c r="S93" s="233"/>
      <c r="T93" s="233"/>
      <c r="U93" s="233"/>
      <c r="V93" s="233"/>
      <c r="W93" s="233"/>
      <c r="X93" s="233"/>
      <c r="Y93" s="233"/>
      <c r="Z93" s="233"/>
      <c r="AA93" s="233"/>
      <c r="AB93" s="233"/>
      <c r="AC93" s="233"/>
      <c r="AD93" s="233"/>
    </row>
    <row r="94" spans="1:30" s="280" customFormat="1" ht="15" customHeight="1">
      <c r="A94" s="233"/>
      <c r="B94" s="237"/>
      <c r="C94" s="237"/>
      <c r="D94" s="237"/>
      <c r="E94" s="237"/>
      <c r="F94" s="237"/>
      <c r="G94" s="237"/>
      <c r="H94" s="237"/>
      <c r="I94" s="237"/>
      <c r="J94" s="233"/>
      <c r="K94" s="233"/>
      <c r="L94" s="233"/>
      <c r="M94" s="233"/>
      <c r="N94" s="233"/>
      <c r="O94" s="233"/>
      <c r="P94" s="233"/>
      <c r="Q94" s="233"/>
      <c r="R94" s="233"/>
      <c r="S94" s="233"/>
      <c r="T94" s="233"/>
      <c r="U94" s="233"/>
      <c r="V94" s="233"/>
      <c r="W94" s="233"/>
      <c r="X94" s="233"/>
      <c r="Y94" s="233"/>
      <c r="Z94" s="233"/>
      <c r="AA94" s="233"/>
      <c r="AB94" s="233"/>
      <c r="AC94" s="233"/>
      <c r="AD94" s="233"/>
    </row>
    <row r="95" spans="1:30" s="280" customFormat="1" ht="15" customHeight="1">
      <c r="A95" s="233"/>
      <c r="B95" s="237"/>
      <c r="C95" s="237"/>
      <c r="D95" s="237"/>
      <c r="E95" s="237"/>
      <c r="F95" s="237"/>
      <c r="G95" s="237"/>
      <c r="H95" s="237"/>
      <c r="I95" s="237"/>
      <c r="J95" s="233"/>
      <c r="K95" s="233"/>
      <c r="L95" s="233"/>
      <c r="M95" s="233"/>
      <c r="N95" s="233"/>
      <c r="O95" s="233"/>
      <c r="P95" s="233"/>
      <c r="Q95" s="233"/>
      <c r="R95" s="233"/>
      <c r="S95" s="233"/>
      <c r="T95" s="233"/>
      <c r="U95" s="233"/>
      <c r="V95" s="233"/>
      <c r="W95" s="233"/>
      <c r="X95" s="233"/>
      <c r="Y95" s="233"/>
      <c r="Z95" s="233"/>
      <c r="AA95" s="233"/>
      <c r="AB95" s="233"/>
      <c r="AC95" s="233"/>
      <c r="AD95" s="233"/>
    </row>
    <row r="96" spans="1:30" s="280" customFormat="1" ht="15" customHeight="1">
      <c r="A96" s="233"/>
      <c r="B96" s="237"/>
      <c r="C96" s="237"/>
      <c r="D96" s="237"/>
      <c r="E96" s="237"/>
      <c r="F96" s="237"/>
      <c r="G96" s="237"/>
      <c r="H96" s="237"/>
      <c r="I96" s="237"/>
      <c r="J96" s="233"/>
      <c r="K96" s="233"/>
      <c r="L96" s="233"/>
      <c r="M96" s="233"/>
      <c r="N96" s="233"/>
      <c r="O96" s="233"/>
      <c r="P96" s="233"/>
      <c r="Q96" s="233"/>
      <c r="R96" s="233"/>
      <c r="S96" s="233"/>
      <c r="T96" s="233"/>
      <c r="U96" s="233"/>
      <c r="V96" s="233"/>
      <c r="W96" s="233"/>
      <c r="X96" s="233"/>
      <c r="Y96" s="233"/>
      <c r="Z96" s="233"/>
      <c r="AA96" s="233"/>
      <c r="AB96" s="233"/>
      <c r="AC96" s="233"/>
      <c r="AD96" s="233"/>
    </row>
    <row r="97" spans="1:30" s="280" customFormat="1" ht="15" customHeight="1">
      <c r="A97" s="233"/>
      <c r="B97" s="237"/>
      <c r="C97" s="237"/>
      <c r="D97" s="237"/>
      <c r="E97" s="237"/>
      <c r="F97" s="237"/>
      <c r="G97" s="237"/>
      <c r="H97" s="237"/>
      <c r="I97" s="237"/>
      <c r="J97" s="233"/>
      <c r="K97" s="233"/>
      <c r="L97" s="233"/>
      <c r="M97" s="233"/>
      <c r="N97" s="233"/>
      <c r="O97" s="233"/>
      <c r="P97" s="233"/>
      <c r="Q97" s="233"/>
      <c r="R97" s="233"/>
      <c r="S97" s="233"/>
      <c r="T97" s="233"/>
      <c r="U97" s="233"/>
      <c r="V97" s="233"/>
      <c r="W97" s="233"/>
      <c r="X97" s="233"/>
      <c r="Y97" s="233"/>
      <c r="Z97" s="233"/>
      <c r="AA97" s="233"/>
      <c r="AB97" s="233"/>
      <c r="AC97" s="233"/>
      <c r="AD97" s="233"/>
    </row>
    <row r="98" spans="1:30" s="280" customFormat="1" ht="15" customHeight="1">
      <c r="A98" s="233"/>
      <c r="B98" s="237"/>
      <c r="C98" s="237"/>
      <c r="D98" s="237"/>
      <c r="E98" s="237"/>
      <c r="F98" s="237"/>
      <c r="G98" s="237"/>
      <c r="H98" s="237"/>
      <c r="I98" s="237"/>
      <c r="J98" s="233"/>
      <c r="K98" s="233"/>
      <c r="L98" s="233"/>
      <c r="M98" s="233"/>
      <c r="N98" s="233"/>
      <c r="O98" s="233"/>
      <c r="P98" s="233"/>
      <c r="Q98" s="233"/>
      <c r="R98" s="233"/>
      <c r="S98" s="233"/>
      <c r="T98" s="233"/>
      <c r="U98" s="233"/>
      <c r="V98" s="233"/>
      <c r="W98" s="233"/>
      <c r="X98" s="233"/>
      <c r="Y98" s="233"/>
      <c r="Z98" s="233"/>
      <c r="AA98" s="233"/>
      <c r="AB98" s="233"/>
      <c r="AC98" s="233"/>
      <c r="AD98" s="233"/>
    </row>
    <row r="99" spans="1:30" s="280" customFormat="1" ht="15" customHeight="1">
      <c r="A99" s="233"/>
      <c r="B99" s="237"/>
      <c r="C99" s="237"/>
      <c r="D99" s="237"/>
      <c r="E99" s="237"/>
      <c r="F99" s="237"/>
      <c r="G99" s="237"/>
      <c r="H99" s="237"/>
      <c r="I99" s="237"/>
      <c r="J99" s="233"/>
      <c r="K99" s="233"/>
      <c r="L99" s="233"/>
      <c r="M99" s="233"/>
      <c r="N99" s="233"/>
      <c r="O99" s="233"/>
      <c r="P99" s="233"/>
      <c r="Q99" s="233"/>
      <c r="R99" s="233"/>
      <c r="S99" s="233"/>
      <c r="T99" s="233"/>
      <c r="U99" s="233"/>
      <c r="V99" s="233"/>
      <c r="W99" s="233"/>
      <c r="X99" s="233"/>
      <c r="Y99" s="233"/>
      <c r="Z99" s="233"/>
      <c r="AA99" s="233"/>
      <c r="AB99" s="233"/>
      <c r="AC99" s="233"/>
      <c r="AD99" s="233"/>
    </row>
    <row r="100" spans="1:30" s="280" customFormat="1" ht="15" customHeight="1">
      <c r="A100" s="233"/>
      <c r="B100" s="237"/>
      <c r="C100" s="237"/>
      <c r="D100" s="237"/>
      <c r="E100" s="237"/>
      <c r="F100" s="237"/>
      <c r="G100" s="237"/>
      <c r="H100" s="237"/>
      <c r="I100" s="237"/>
      <c r="J100" s="233"/>
      <c r="K100" s="233"/>
      <c r="L100" s="233"/>
      <c r="M100" s="233"/>
      <c r="N100" s="233"/>
      <c r="O100" s="233"/>
      <c r="P100" s="233"/>
      <c r="Q100" s="233"/>
      <c r="R100" s="233"/>
      <c r="S100" s="233"/>
      <c r="T100" s="233"/>
      <c r="U100" s="233"/>
      <c r="V100" s="233"/>
      <c r="W100" s="233"/>
      <c r="X100" s="233"/>
      <c r="Y100" s="233"/>
      <c r="Z100" s="233"/>
      <c r="AA100" s="233"/>
      <c r="AB100" s="233"/>
      <c r="AC100" s="233"/>
      <c r="AD100" s="233"/>
    </row>
    <row r="101" spans="1:30" s="280" customFormat="1" ht="15" customHeight="1">
      <c r="A101" s="233"/>
      <c r="B101" s="237"/>
      <c r="C101" s="237"/>
      <c r="D101" s="237"/>
      <c r="E101" s="237"/>
      <c r="F101" s="237"/>
      <c r="G101" s="237"/>
      <c r="H101" s="237"/>
      <c r="I101" s="237"/>
      <c r="J101" s="233"/>
      <c r="K101" s="233"/>
      <c r="L101" s="233"/>
      <c r="M101" s="233"/>
      <c r="N101" s="233"/>
      <c r="O101" s="233"/>
      <c r="P101" s="233"/>
      <c r="Q101" s="233"/>
      <c r="R101" s="233"/>
      <c r="S101" s="233"/>
      <c r="T101" s="233"/>
      <c r="U101" s="233"/>
      <c r="V101" s="233"/>
      <c r="W101" s="233"/>
      <c r="X101" s="233"/>
      <c r="Y101" s="233"/>
      <c r="Z101" s="233"/>
      <c r="AA101" s="233"/>
      <c r="AB101" s="233"/>
      <c r="AC101" s="233"/>
      <c r="AD101" s="233"/>
    </row>
    <row r="102" spans="1:30" s="280" customFormat="1" ht="15" customHeight="1">
      <c r="A102" s="233"/>
      <c r="B102" s="237"/>
      <c r="C102" s="237"/>
      <c r="D102" s="237"/>
      <c r="E102" s="237"/>
      <c r="F102" s="237"/>
      <c r="G102" s="237"/>
      <c r="H102" s="237"/>
      <c r="I102" s="237"/>
      <c r="J102" s="233"/>
      <c r="K102" s="233"/>
      <c r="L102" s="233"/>
      <c r="M102" s="233"/>
      <c r="N102" s="233"/>
      <c r="O102" s="233"/>
      <c r="P102" s="233"/>
      <c r="Q102" s="233"/>
      <c r="R102" s="233"/>
      <c r="S102" s="233"/>
      <c r="T102" s="233"/>
      <c r="U102" s="233"/>
      <c r="V102" s="233"/>
      <c r="W102" s="233"/>
      <c r="X102" s="233"/>
      <c r="Y102" s="233"/>
      <c r="Z102" s="233"/>
      <c r="AA102" s="233"/>
      <c r="AB102" s="233"/>
      <c r="AC102" s="233"/>
      <c r="AD102" s="233"/>
    </row>
    <row r="103" spans="1:30" s="280" customFormat="1" ht="15" customHeight="1">
      <c r="A103" s="233"/>
      <c r="B103" s="237"/>
      <c r="C103" s="237"/>
      <c r="D103" s="237"/>
      <c r="E103" s="237"/>
      <c r="F103" s="237"/>
      <c r="G103" s="237"/>
      <c r="H103" s="237"/>
      <c r="I103" s="237"/>
      <c r="J103" s="233"/>
      <c r="K103" s="233"/>
      <c r="L103" s="233"/>
      <c r="M103" s="233"/>
      <c r="N103" s="233"/>
      <c r="O103" s="233"/>
      <c r="P103" s="233"/>
      <c r="Q103" s="233"/>
      <c r="R103" s="233"/>
      <c r="S103" s="233"/>
      <c r="T103" s="233"/>
      <c r="U103" s="233"/>
      <c r="V103" s="233"/>
      <c r="W103" s="233"/>
      <c r="X103" s="233"/>
      <c r="Y103" s="233"/>
      <c r="Z103" s="233"/>
      <c r="AA103" s="233"/>
      <c r="AB103" s="233"/>
      <c r="AC103" s="233"/>
      <c r="AD103" s="233"/>
    </row>
    <row r="104" spans="1:30" s="280" customFormat="1" ht="15" customHeight="1">
      <c r="A104" s="233"/>
      <c r="B104" s="237"/>
      <c r="C104" s="237"/>
      <c r="D104" s="237"/>
      <c r="E104" s="237"/>
      <c r="F104" s="237"/>
      <c r="G104" s="237"/>
      <c r="H104" s="237"/>
      <c r="I104" s="237"/>
      <c r="J104" s="233"/>
      <c r="K104" s="233"/>
      <c r="L104" s="233"/>
      <c r="M104" s="233"/>
      <c r="N104" s="233"/>
      <c r="O104" s="233"/>
      <c r="P104" s="233"/>
      <c r="Q104" s="233"/>
      <c r="R104" s="233"/>
      <c r="S104" s="233"/>
      <c r="T104" s="233"/>
      <c r="U104" s="233"/>
      <c r="V104" s="233"/>
      <c r="W104" s="233"/>
      <c r="X104" s="233"/>
      <c r="Y104" s="233"/>
      <c r="Z104" s="233"/>
      <c r="AA104" s="233"/>
      <c r="AB104" s="233"/>
      <c r="AC104" s="233"/>
      <c r="AD104" s="233"/>
    </row>
    <row r="105" spans="1:30" s="280" customFormat="1" ht="15" customHeight="1">
      <c r="A105" s="233"/>
      <c r="B105" s="237"/>
      <c r="C105" s="237"/>
      <c r="D105" s="237"/>
      <c r="E105" s="237"/>
      <c r="F105" s="237"/>
      <c r="G105" s="237"/>
      <c r="H105" s="237"/>
      <c r="I105" s="237"/>
      <c r="J105" s="233"/>
      <c r="K105" s="233"/>
      <c r="L105" s="233"/>
      <c r="M105" s="233"/>
      <c r="N105" s="233"/>
      <c r="O105" s="233"/>
      <c r="P105" s="233"/>
      <c r="Q105" s="233"/>
      <c r="R105" s="233"/>
      <c r="S105" s="233"/>
      <c r="T105" s="233"/>
      <c r="U105" s="233"/>
      <c r="V105" s="233"/>
      <c r="W105" s="233"/>
      <c r="X105" s="233"/>
      <c r="Y105" s="233"/>
      <c r="Z105" s="233"/>
      <c r="AA105" s="233"/>
      <c r="AB105" s="233"/>
      <c r="AC105" s="233"/>
      <c r="AD105" s="233"/>
    </row>
    <row r="106" spans="1:30" s="280" customFormat="1" ht="15" customHeight="1">
      <c r="A106" s="233"/>
      <c r="B106" s="237"/>
      <c r="C106" s="237"/>
      <c r="D106" s="237"/>
      <c r="E106" s="237"/>
      <c r="F106" s="237"/>
      <c r="G106" s="237"/>
      <c r="H106" s="237"/>
      <c r="I106" s="237"/>
      <c r="J106" s="233"/>
      <c r="K106" s="233"/>
      <c r="L106" s="233"/>
      <c r="M106" s="233"/>
      <c r="N106" s="233"/>
      <c r="O106" s="233"/>
      <c r="P106" s="233"/>
      <c r="Q106" s="233"/>
      <c r="R106" s="233"/>
      <c r="S106" s="233"/>
      <c r="T106" s="233"/>
      <c r="U106" s="233"/>
      <c r="V106" s="233"/>
      <c r="W106" s="233"/>
      <c r="X106" s="233"/>
      <c r="Y106" s="233"/>
      <c r="Z106" s="233"/>
      <c r="AA106" s="233"/>
      <c r="AB106" s="233"/>
      <c r="AC106" s="233"/>
      <c r="AD106" s="233"/>
    </row>
    <row r="107" spans="1:30" s="280" customFormat="1" ht="15" customHeight="1">
      <c r="A107" s="233"/>
      <c r="B107" s="237"/>
      <c r="C107" s="237"/>
      <c r="D107" s="237"/>
      <c r="E107" s="237"/>
      <c r="F107" s="237"/>
      <c r="G107" s="237"/>
      <c r="H107" s="237"/>
      <c r="I107" s="237"/>
      <c r="J107" s="233"/>
      <c r="K107" s="233"/>
      <c r="L107" s="233"/>
      <c r="M107" s="233"/>
      <c r="N107" s="233"/>
      <c r="O107" s="233"/>
      <c r="P107" s="233"/>
      <c r="Q107" s="233"/>
      <c r="R107" s="233"/>
      <c r="S107" s="233"/>
      <c r="T107" s="233"/>
      <c r="U107" s="233"/>
      <c r="V107" s="233"/>
      <c r="W107" s="233"/>
      <c r="X107" s="233"/>
      <c r="Y107" s="233"/>
      <c r="Z107" s="233"/>
      <c r="AA107" s="233"/>
      <c r="AB107" s="233"/>
      <c r="AC107" s="233"/>
      <c r="AD107" s="233"/>
    </row>
    <row r="108" spans="1:30" s="283" customFormat="1" ht="15" customHeight="1">
      <c r="A108" s="233"/>
      <c r="B108" s="237"/>
      <c r="C108" s="237"/>
      <c r="D108" s="237"/>
      <c r="E108" s="237"/>
      <c r="F108" s="237"/>
      <c r="G108" s="237"/>
      <c r="H108" s="237"/>
      <c r="I108" s="237"/>
      <c r="J108" s="233"/>
      <c r="K108" s="233"/>
      <c r="L108" s="233"/>
      <c r="M108" s="233"/>
      <c r="N108" s="233"/>
      <c r="O108" s="233"/>
      <c r="P108" s="233"/>
      <c r="Q108" s="233"/>
      <c r="R108" s="233"/>
      <c r="S108" s="233"/>
      <c r="T108" s="233"/>
      <c r="U108" s="233"/>
      <c r="V108" s="233"/>
      <c r="W108" s="233"/>
      <c r="X108" s="233"/>
      <c r="Y108" s="233"/>
      <c r="Z108" s="233"/>
      <c r="AA108" s="233"/>
      <c r="AB108" s="233"/>
      <c r="AC108" s="233"/>
      <c r="AD108" s="233"/>
    </row>
    <row r="109" spans="1:30" s="283" customFormat="1" ht="15" customHeight="1">
      <c r="B109" s="282"/>
      <c r="C109" s="282"/>
      <c r="D109" s="282"/>
      <c r="E109" s="282"/>
      <c r="F109" s="282"/>
      <c r="G109" s="282"/>
      <c r="H109" s="282"/>
      <c r="I109" s="282"/>
    </row>
    <row r="110" spans="1:30" s="283" customFormat="1" ht="15" customHeight="1">
      <c r="B110" s="282"/>
      <c r="C110" s="282"/>
      <c r="D110" s="282"/>
      <c r="E110" s="282"/>
      <c r="F110" s="282"/>
      <c r="G110" s="282"/>
      <c r="H110" s="282"/>
      <c r="I110" s="282"/>
    </row>
    <row r="111" spans="1:30" s="283" customFormat="1" ht="15" customHeight="1">
      <c r="B111" s="282"/>
      <c r="C111" s="282"/>
      <c r="D111" s="282"/>
      <c r="E111" s="282"/>
      <c r="F111" s="282"/>
      <c r="G111" s="282"/>
      <c r="H111" s="282"/>
      <c r="I111" s="282"/>
    </row>
    <row r="112" spans="1:30" ht="15" customHeight="1">
      <c r="B112" s="237"/>
      <c r="C112" s="237"/>
      <c r="D112" s="237"/>
      <c r="E112" s="237"/>
      <c r="F112" s="237"/>
      <c r="G112" s="237"/>
      <c r="H112" s="237"/>
      <c r="I112" s="237"/>
    </row>
    <row r="113" spans="2:9" ht="15" customHeight="1">
      <c r="B113" s="237"/>
      <c r="C113" s="237"/>
      <c r="D113" s="237"/>
      <c r="E113" s="237"/>
      <c r="F113" s="237"/>
      <c r="G113" s="237"/>
      <c r="H113" s="237"/>
      <c r="I113" s="237"/>
    </row>
    <row r="114" spans="2:9" ht="15" customHeight="1">
      <c r="B114" s="237"/>
      <c r="C114" s="237"/>
      <c r="D114" s="237"/>
      <c r="E114" s="237"/>
      <c r="F114" s="237"/>
      <c r="G114" s="237"/>
      <c r="H114" s="237"/>
      <c r="I114" s="237"/>
    </row>
    <row r="115" spans="2:9" ht="15" customHeight="1">
      <c r="B115" s="237"/>
      <c r="C115" s="237"/>
      <c r="D115" s="237"/>
      <c r="E115" s="237"/>
      <c r="F115" s="237"/>
      <c r="G115" s="237"/>
      <c r="H115" s="237"/>
      <c r="I115" s="237"/>
    </row>
    <row r="116" spans="2:9" ht="15" customHeight="1">
      <c r="B116" s="237"/>
      <c r="C116" s="237"/>
      <c r="D116" s="237"/>
      <c r="E116" s="237"/>
      <c r="F116" s="237"/>
      <c r="G116" s="237"/>
      <c r="H116" s="237"/>
      <c r="I116" s="237"/>
    </row>
    <row r="117" spans="2:9" ht="15" customHeight="1">
      <c r="B117" s="237"/>
      <c r="C117" s="237"/>
      <c r="D117" s="237"/>
      <c r="E117" s="237"/>
      <c r="F117" s="237"/>
      <c r="G117" s="237"/>
      <c r="H117" s="237"/>
      <c r="I117" s="237"/>
    </row>
    <row r="118" spans="2:9" ht="15" customHeight="1">
      <c r="B118" s="237"/>
      <c r="C118" s="237"/>
      <c r="D118" s="237"/>
      <c r="E118" s="237"/>
      <c r="F118" s="237"/>
      <c r="G118" s="237"/>
      <c r="H118" s="237"/>
      <c r="I118" s="237"/>
    </row>
    <row r="119" spans="2:9" ht="15" customHeight="1">
      <c r="B119" s="237"/>
      <c r="C119" s="237"/>
      <c r="D119" s="237"/>
      <c r="E119" s="237"/>
      <c r="F119" s="237"/>
      <c r="G119" s="237"/>
      <c r="H119" s="237"/>
      <c r="I119" s="237"/>
    </row>
    <row r="120" spans="2:9" ht="15" customHeight="1">
      <c r="B120" s="237"/>
      <c r="C120" s="237"/>
      <c r="D120" s="237"/>
      <c r="E120" s="237"/>
      <c r="F120" s="237"/>
      <c r="G120" s="237"/>
      <c r="H120" s="237"/>
      <c r="I120" s="237"/>
    </row>
    <row r="121" spans="2:9" ht="15" customHeight="1">
      <c r="B121" s="237"/>
      <c r="C121" s="237"/>
      <c r="D121" s="237"/>
      <c r="E121" s="237"/>
      <c r="F121" s="237"/>
      <c r="G121" s="237"/>
      <c r="H121" s="237"/>
      <c r="I121" s="237"/>
    </row>
    <row r="122" spans="2:9" ht="15" customHeight="1">
      <c r="B122" s="237"/>
      <c r="C122" s="237"/>
      <c r="D122" s="237"/>
      <c r="E122" s="237"/>
      <c r="F122" s="237"/>
      <c r="G122" s="237"/>
      <c r="H122" s="237"/>
      <c r="I122" s="237"/>
    </row>
  </sheetData>
  <sheetProtection sheet="1" objects="1" scenarios="1"/>
  <pageMargins left="0.74803149606299213" right="0.39370078740157483" top="0.39370078740157483" bottom="0.59055118110236227" header="0.19685039370078741" footer="0.39370078740157483"/>
  <pageSetup paperSize="9" scale="41" fitToHeight="2" orientation="portrait" horizontalDpi="120" verticalDpi="144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3073" r:id="rId4">
          <objectPr defaultSize="0" autoPict="0" r:id="rId5">
            <anchor moveWithCells="1">
              <from>
                <xdr:col>0</xdr:col>
                <xdr:colOff>104775</xdr:colOff>
                <xdr:row>1</xdr:row>
                <xdr:rowOff>142875</xdr:rowOff>
              </from>
              <to>
                <xdr:col>1</xdr:col>
                <xdr:colOff>723900</xdr:colOff>
                <xdr:row>4</xdr:row>
                <xdr:rowOff>76200</xdr:rowOff>
              </to>
            </anchor>
          </objectPr>
        </oleObject>
      </mc:Choice>
      <mc:Fallback>
        <oleObject progId="Word.Picture.8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HZ153"/>
  <sheetViews>
    <sheetView tabSelected="1" topLeftCell="A25" zoomScale="85" zoomScaleNormal="85" zoomScaleSheetLayoutView="80" workbookViewId="0">
      <selection activeCell="D36" sqref="D36"/>
    </sheetView>
  </sheetViews>
  <sheetFormatPr defaultColWidth="10.7109375" defaultRowHeight="15" customHeight="1"/>
  <cols>
    <col min="1" max="2" width="11.7109375" style="77" customWidth="1"/>
    <col min="3" max="4" width="11.7109375" style="90" customWidth="1"/>
    <col min="5" max="5" width="11.7109375" style="77" customWidth="1"/>
    <col min="6" max="6" width="11.7109375" style="90" customWidth="1"/>
    <col min="7" max="8" width="11.7109375" style="77" customWidth="1"/>
    <col min="9" max="9" width="11.7109375" style="90" customWidth="1"/>
    <col min="10" max="10" width="11.7109375" style="165" customWidth="1"/>
    <col min="11" max="11" width="11.7109375" style="77" customWidth="1"/>
    <col min="12" max="12" width="11.7109375" style="90" customWidth="1"/>
    <col min="13" max="14" width="11.7109375" style="77" customWidth="1"/>
    <col min="15" max="28" width="8.7109375" style="454" customWidth="1"/>
    <col min="29" max="29" width="10.7109375" style="454" customWidth="1"/>
    <col min="30" max="31" width="10.7109375" style="200" customWidth="1"/>
    <col min="32" max="34" width="10.7109375" style="77" customWidth="1"/>
    <col min="35" max="52" width="10.7109375" style="200" customWidth="1"/>
    <col min="53" max="56" width="10.7109375" style="76" customWidth="1"/>
    <col min="57" max="256" width="10.7109375" style="77"/>
    <col min="257" max="270" width="11" style="77" customWidth="1"/>
    <col min="271" max="284" width="8.7109375" style="77" customWidth="1"/>
    <col min="285" max="512" width="10.7109375" style="77"/>
    <col min="513" max="526" width="11" style="77" customWidth="1"/>
    <col min="527" max="540" width="8.7109375" style="77" customWidth="1"/>
    <col min="541" max="768" width="10.7109375" style="77"/>
    <col min="769" max="782" width="11" style="77" customWidth="1"/>
    <col min="783" max="796" width="8.7109375" style="77" customWidth="1"/>
    <col min="797" max="1024" width="10.7109375" style="77"/>
    <col min="1025" max="1038" width="11" style="77" customWidth="1"/>
    <col min="1039" max="1052" width="8.7109375" style="77" customWidth="1"/>
    <col min="1053" max="1280" width="10.7109375" style="77"/>
    <col min="1281" max="1294" width="11" style="77" customWidth="1"/>
    <col min="1295" max="1308" width="8.7109375" style="77" customWidth="1"/>
    <col min="1309" max="1536" width="10.7109375" style="77"/>
    <col min="1537" max="1550" width="11" style="77" customWidth="1"/>
    <col min="1551" max="1564" width="8.7109375" style="77" customWidth="1"/>
    <col min="1565" max="1792" width="10.7109375" style="77"/>
    <col min="1793" max="1806" width="11" style="77" customWidth="1"/>
    <col min="1807" max="1820" width="8.7109375" style="77" customWidth="1"/>
    <col min="1821" max="2048" width="10.7109375" style="77"/>
    <col min="2049" max="2062" width="11" style="77" customWidth="1"/>
    <col min="2063" max="2076" width="8.7109375" style="77" customWidth="1"/>
    <col min="2077" max="2304" width="10.7109375" style="77"/>
    <col min="2305" max="2318" width="11" style="77" customWidth="1"/>
    <col min="2319" max="2332" width="8.7109375" style="77" customWidth="1"/>
    <col min="2333" max="2560" width="10.7109375" style="77"/>
    <col min="2561" max="2574" width="11" style="77" customWidth="1"/>
    <col min="2575" max="2588" width="8.7109375" style="77" customWidth="1"/>
    <col min="2589" max="2816" width="10.7109375" style="77"/>
    <col min="2817" max="2830" width="11" style="77" customWidth="1"/>
    <col min="2831" max="2844" width="8.7109375" style="77" customWidth="1"/>
    <col min="2845" max="3072" width="10.7109375" style="77"/>
    <col min="3073" max="3086" width="11" style="77" customWidth="1"/>
    <col min="3087" max="3100" width="8.7109375" style="77" customWidth="1"/>
    <col min="3101" max="3328" width="10.7109375" style="77"/>
    <col min="3329" max="3342" width="11" style="77" customWidth="1"/>
    <col min="3343" max="3356" width="8.7109375" style="77" customWidth="1"/>
    <col min="3357" max="3584" width="10.7109375" style="77"/>
    <col min="3585" max="3598" width="11" style="77" customWidth="1"/>
    <col min="3599" max="3612" width="8.7109375" style="77" customWidth="1"/>
    <col min="3613" max="3840" width="10.7109375" style="77"/>
    <col min="3841" max="3854" width="11" style="77" customWidth="1"/>
    <col min="3855" max="3868" width="8.7109375" style="77" customWidth="1"/>
    <col min="3869" max="4096" width="10.7109375" style="77"/>
    <col min="4097" max="4110" width="11" style="77" customWidth="1"/>
    <col min="4111" max="4124" width="8.7109375" style="77" customWidth="1"/>
    <col min="4125" max="4352" width="10.7109375" style="77"/>
    <col min="4353" max="4366" width="11" style="77" customWidth="1"/>
    <col min="4367" max="4380" width="8.7109375" style="77" customWidth="1"/>
    <col min="4381" max="4608" width="10.7109375" style="77"/>
    <col min="4609" max="4622" width="11" style="77" customWidth="1"/>
    <col min="4623" max="4636" width="8.7109375" style="77" customWidth="1"/>
    <col min="4637" max="4864" width="10.7109375" style="77"/>
    <col min="4865" max="4878" width="11" style="77" customWidth="1"/>
    <col min="4879" max="4892" width="8.7109375" style="77" customWidth="1"/>
    <col min="4893" max="5120" width="10.7109375" style="77"/>
    <col min="5121" max="5134" width="11" style="77" customWidth="1"/>
    <col min="5135" max="5148" width="8.7109375" style="77" customWidth="1"/>
    <col min="5149" max="5376" width="10.7109375" style="77"/>
    <col min="5377" max="5390" width="11" style="77" customWidth="1"/>
    <col min="5391" max="5404" width="8.7109375" style="77" customWidth="1"/>
    <col min="5405" max="5632" width="10.7109375" style="77"/>
    <col min="5633" max="5646" width="11" style="77" customWidth="1"/>
    <col min="5647" max="5660" width="8.7109375" style="77" customWidth="1"/>
    <col min="5661" max="5888" width="10.7109375" style="77"/>
    <col min="5889" max="5902" width="11" style="77" customWidth="1"/>
    <col min="5903" max="5916" width="8.7109375" style="77" customWidth="1"/>
    <col min="5917" max="6144" width="10.7109375" style="77"/>
    <col min="6145" max="6158" width="11" style="77" customWidth="1"/>
    <col min="6159" max="6172" width="8.7109375" style="77" customWidth="1"/>
    <col min="6173" max="6400" width="10.7109375" style="77"/>
    <col min="6401" max="6414" width="11" style="77" customWidth="1"/>
    <col min="6415" max="6428" width="8.7109375" style="77" customWidth="1"/>
    <col min="6429" max="6656" width="10.7109375" style="77"/>
    <col min="6657" max="6670" width="11" style="77" customWidth="1"/>
    <col min="6671" max="6684" width="8.7109375" style="77" customWidth="1"/>
    <col min="6685" max="6912" width="10.7109375" style="77"/>
    <col min="6913" max="6926" width="11" style="77" customWidth="1"/>
    <col min="6927" max="6940" width="8.7109375" style="77" customWidth="1"/>
    <col min="6941" max="7168" width="10.7109375" style="77"/>
    <col min="7169" max="7182" width="11" style="77" customWidth="1"/>
    <col min="7183" max="7196" width="8.7109375" style="77" customWidth="1"/>
    <col min="7197" max="7424" width="10.7109375" style="77"/>
    <col min="7425" max="7438" width="11" style="77" customWidth="1"/>
    <col min="7439" max="7452" width="8.7109375" style="77" customWidth="1"/>
    <col min="7453" max="7680" width="10.7109375" style="77"/>
    <col min="7681" max="7694" width="11" style="77" customWidth="1"/>
    <col min="7695" max="7708" width="8.7109375" style="77" customWidth="1"/>
    <col min="7709" max="7936" width="10.7109375" style="77"/>
    <col min="7937" max="7950" width="11" style="77" customWidth="1"/>
    <col min="7951" max="7964" width="8.7109375" style="77" customWidth="1"/>
    <col min="7965" max="8192" width="10.7109375" style="77"/>
    <col min="8193" max="8206" width="11" style="77" customWidth="1"/>
    <col min="8207" max="8220" width="8.7109375" style="77" customWidth="1"/>
    <col min="8221" max="8448" width="10.7109375" style="77"/>
    <col min="8449" max="8462" width="11" style="77" customWidth="1"/>
    <col min="8463" max="8476" width="8.7109375" style="77" customWidth="1"/>
    <col min="8477" max="8704" width="10.7109375" style="77"/>
    <col min="8705" max="8718" width="11" style="77" customWidth="1"/>
    <col min="8719" max="8732" width="8.7109375" style="77" customWidth="1"/>
    <col min="8733" max="8960" width="10.7109375" style="77"/>
    <col min="8961" max="8974" width="11" style="77" customWidth="1"/>
    <col min="8975" max="8988" width="8.7109375" style="77" customWidth="1"/>
    <col min="8989" max="9216" width="10.7109375" style="77"/>
    <col min="9217" max="9230" width="11" style="77" customWidth="1"/>
    <col min="9231" max="9244" width="8.7109375" style="77" customWidth="1"/>
    <col min="9245" max="9472" width="10.7109375" style="77"/>
    <col min="9473" max="9486" width="11" style="77" customWidth="1"/>
    <col min="9487" max="9500" width="8.7109375" style="77" customWidth="1"/>
    <col min="9501" max="9728" width="10.7109375" style="77"/>
    <col min="9729" max="9742" width="11" style="77" customWidth="1"/>
    <col min="9743" max="9756" width="8.7109375" style="77" customWidth="1"/>
    <col min="9757" max="9984" width="10.7109375" style="77"/>
    <col min="9985" max="9998" width="11" style="77" customWidth="1"/>
    <col min="9999" max="10012" width="8.7109375" style="77" customWidth="1"/>
    <col min="10013" max="10240" width="10.7109375" style="77"/>
    <col min="10241" max="10254" width="11" style="77" customWidth="1"/>
    <col min="10255" max="10268" width="8.7109375" style="77" customWidth="1"/>
    <col min="10269" max="10496" width="10.7109375" style="77"/>
    <col min="10497" max="10510" width="11" style="77" customWidth="1"/>
    <col min="10511" max="10524" width="8.7109375" style="77" customWidth="1"/>
    <col min="10525" max="10752" width="10.7109375" style="77"/>
    <col min="10753" max="10766" width="11" style="77" customWidth="1"/>
    <col min="10767" max="10780" width="8.7109375" style="77" customWidth="1"/>
    <col min="10781" max="11008" width="10.7109375" style="77"/>
    <col min="11009" max="11022" width="11" style="77" customWidth="1"/>
    <col min="11023" max="11036" width="8.7109375" style="77" customWidth="1"/>
    <col min="11037" max="11264" width="10.7109375" style="77"/>
    <col min="11265" max="11278" width="11" style="77" customWidth="1"/>
    <col min="11279" max="11292" width="8.7109375" style="77" customWidth="1"/>
    <col min="11293" max="11520" width="10.7109375" style="77"/>
    <col min="11521" max="11534" width="11" style="77" customWidth="1"/>
    <col min="11535" max="11548" width="8.7109375" style="77" customWidth="1"/>
    <col min="11549" max="11776" width="10.7109375" style="77"/>
    <col min="11777" max="11790" width="11" style="77" customWidth="1"/>
    <col min="11791" max="11804" width="8.7109375" style="77" customWidth="1"/>
    <col min="11805" max="12032" width="10.7109375" style="77"/>
    <col min="12033" max="12046" width="11" style="77" customWidth="1"/>
    <col min="12047" max="12060" width="8.7109375" style="77" customWidth="1"/>
    <col min="12061" max="12288" width="10.7109375" style="77"/>
    <col min="12289" max="12302" width="11" style="77" customWidth="1"/>
    <col min="12303" max="12316" width="8.7109375" style="77" customWidth="1"/>
    <col min="12317" max="12544" width="10.7109375" style="77"/>
    <col min="12545" max="12558" width="11" style="77" customWidth="1"/>
    <col min="12559" max="12572" width="8.7109375" style="77" customWidth="1"/>
    <col min="12573" max="12800" width="10.7109375" style="77"/>
    <col min="12801" max="12814" width="11" style="77" customWidth="1"/>
    <col min="12815" max="12828" width="8.7109375" style="77" customWidth="1"/>
    <col min="12829" max="13056" width="10.7109375" style="77"/>
    <col min="13057" max="13070" width="11" style="77" customWidth="1"/>
    <col min="13071" max="13084" width="8.7109375" style="77" customWidth="1"/>
    <col min="13085" max="13312" width="10.7109375" style="77"/>
    <col min="13313" max="13326" width="11" style="77" customWidth="1"/>
    <col min="13327" max="13340" width="8.7109375" style="77" customWidth="1"/>
    <col min="13341" max="13568" width="10.7109375" style="77"/>
    <col min="13569" max="13582" width="11" style="77" customWidth="1"/>
    <col min="13583" max="13596" width="8.7109375" style="77" customWidth="1"/>
    <col min="13597" max="13824" width="10.7109375" style="77"/>
    <col min="13825" max="13838" width="11" style="77" customWidth="1"/>
    <col min="13839" max="13852" width="8.7109375" style="77" customWidth="1"/>
    <col min="13853" max="14080" width="10.7109375" style="77"/>
    <col min="14081" max="14094" width="11" style="77" customWidth="1"/>
    <col min="14095" max="14108" width="8.7109375" style="77" customWidth="1"/>
    <col min="14109" max="14336" width="10.7109375" style="77"/>
    <col min="14337" max="14350" width="11" style="77" customWidth="1"/>
    <col min="14351" max="14364" width="8.7109375" style="77" customWidth="1"/>
    <col min="14365" max="14592" width="10.7109375" style="77"/>
    <col min="14593" max="14606" width="11" style="77" customWidth="1"/>
    <col min="14607" max="14620" width="8.7109375" style="77" customWidth="1"/>
    <col min="14621" max="14848" width="10.7109375" style="77"/>
    <col min="14849" max="14862" width="11" style="77" customWidth="1"/>
    <col min="14863" max="14876" width="8.7109375" style="77" customWidth="1"/>
    <col min="14877" max="15104" width="10.7109375" style="77"/>
    <col min="15105" max="15118" width="11" style="77" customWidth="1"/>
    <col min="15119" max="15132" width="8.7109375" style="77" customWidth="1"/>
    <col min="15133" max="15360" width="10.7109375" style="77"/>
    <col min="15361" max="15374" width="11" style="77" customWidth="1"/>
    <col min="15375" max="15388" width="8.7109375" style="77" customWidth="1"/>
    <col min="15389" max="15616" width="10.7109375" style="77"/>
    <col min="15617" max="15630" width="11" style="77" customWidth="1"/>
    <col min="15631" max="15644" width="8.7109375" style="77" customWidth="1"/>
    <col min="15645" max="15872" width="10.7109375" style="77"/>
    <col min="15873" max="15886" width="11" style="77" customWidth="1"/>
    <col min="15887" max="15900" width="8.7109375" style="77" customWidth="1"/>
    <col min="15901" max="16128" width="10.7109375" style="77"/>
    <col min="16129" max="16142" width="11" style="77" customWidth="1"/>
    <col min="16143" max="16156" width="8.7109375" style="77" customWidth="1"/>
    <col min="16157" max="16384" width="10.7109375" style="77"/>
  </cols>
  <sheetData>
    <row r="1" spans="1:56" ht="20.100000000000001" customHeight="1">
      <c r="A1" s="66"/>
      <c r="B1" s="67"/>
      <c r="C1" s="68"/>
      <c r="D1" s="69"/>
      <c r="E1" s="70"/>
      <c r="F1" s="70"/>
      <c r="G1" s="70"/>
      <c r="H1" s="70"/>
      <c r="I1" s="70"/>
      <c r="J1" s="71"/>
      <c r="K1" s="72"/>
      <c r="L1" s="73" t="s">
        <v>7</v>
      </c>
      <c r="M1" s="581" t="str">
        <f>RESUM!O2</f>
        <v>DT-QT 315 L</v>
      </c>
      <c r="N1" s="582"/>
    </row>
    <row r="2" spans="1:56" ht="20.100000000000001" customHeight="1">
      <c r="A2" s="78"/>
      <c r="C2" s="79"/>
      <c r="D2" s="583" t="str">
        <f>RESUM!G2</f>
        <v>MAC QT 315 L</v>
      </c>
      <c r="E2" s="584"/>
      <c r="F2" s="584"/>
      <c r="G2" s="584"/>
      <c r="H2" s="584"/>
      <c r="I2" s="584"/>
      <c r="J2" s="584"/>
      <c r="K2" s="585"/>
      <c r="L2" s="80" t="s">
        <v>8</v>
      </c>
      <c r="M2" s="586" t="str">
        <f>'driving mode datasheet'!M2</f>
        <v>08</v>
      </c>
      <c r="N2" s="592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F2" s="200"/>
      <c r="AG2" s="200"/>
    </row>
    <row r="3" spans="1:56" ht="20.100000000000001" customHeight="1">
      <c r="A3" s="78"/>
      <c r="C3" s="79"/>
      <c r="D3" s="588" t="s">
        <v>177</v>
      </c>
      <c r="E3" s="589"/>
      <c r="F3" s="589"/>
      <c r="G3" s="589"/>
      <c r="H3" s="589"/>
      <c r="I3" s="589"/>
      <c r="J3" s="589"/>
      <c r="K3" s="590"/>
      <c r="L3" s="80" t="s">
        <v>10</v>
      </c>
      <c r="M3" s="586" t="str">
        <f>'driving mode datasheet'!M3</f>
        <v>1 de 3</v>
      </c>
      <c r="N3" s="592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F3" s="200"/>
      <c r="AG3" s="200"/>
    </row>
    <row r="4" spans="1:56" ht="20.100000000000001" customHeight="1">
      <c r="A4" s="78"/>
      <c r="C4" s="79"/>
      <c r="D4" s="597" t="s">
        <v>178</v>
      </c>
      <c r="E4" s="598"/>
      <c r="F4" s="598"/>
      <c r="G4" s="598"/>
      <c r="H4" s="598"/>
      <c r="I4" s="598"/>
      <c r="J4" s="598"/>
      <c r="K4" s="599"/>
      <c r="L4" s="80" t="s">
        <v>13</v>
      </c>
      <c r="M4" s="600">
        <f>'driving mode datasheet'!M4</f>
        <v>45239</v>
      </c>
      <c r="N4" s="666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F4" s="200"/>
      <c r="AG4" s="200"/>
    </row>
    <row r="5" spans="1:56" ht="20.100000000000001" customHeight="1" thickBot="1">
      <c r="A5" s="81"/>
      <c r="B5" s="82"/>
      <c r="C5" s="83"/>
      <c r="D5" s="84"/>
      <c r="E5" s="85"/>
      <c r="F5" s="86"/>
      <c r="G5" s="85"/>
      <c r="H5" s="85"/>
      <c r="I5" s="86"/>
      <c r="J5" s="87"/>
      <c r="K5" s="88"/>
      <c r="L5" s="85"/>
      <c r="M5" s="601"/>
      <c r="N5" s="602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F5" s="200"/>
      <c r="AG5" s="200"/>
    </row>
    <row r="6" spans="1:56" ht="21" customHeight="1" thickBot="1">
      <c r="B6" s="89"/>
      <c r="D6" s="91"/>
      <c r="E6" s="91"/>
      <c r="F6" s="91"/>
      <c r="G6" s="92"/>
      <c r="H6" s="92"/>
      <c r="I6" s="93"/>
      <c r="J6" s="93"/>
      <c r="K6" s="92"/>
      <c r="L6" s="92"/>
      <c r="M6" s="92"/>
      <c r="N6" s="89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F6" s="200"/>
      <c r="AG6" s="200"/>
    </row>
    <row r="7" spans="1:56" s="104" customFormat="1" ht="18" customHeight="1" thickBot="1">
      <c r="A7" s="94" t="s">
        <v>14</v>
      </c>
      <c r="B7" s="95"/>
      <c r="C7" s="95"/>
      <c r="D7" s="96"/>
      <c r="E7" s="97" t="s">
        <v>15</v>
      </c>
      <c r="F7" s="98"/>
      <c r="G7" s="99" t="s">
        <v>16</v>
      </c>
      <c r="H7" s="593" t="str">
        <f>'driving mode datasheet'!H7</f>
        <v>6024 ZZ C3</v>
      </c>
      <c r="I7" s="593"/>
      <c r="J7" s="603" t="str">
        <f>'driving mode datasheet'!J7</f>
        <v>Trasero</v>
      </c>
      <c r="K7" s="603"/>
      <c r="L7" s="603"/>
      <c r="M7" s="593" t="str">
        <f>'driving mode datasheet'!M7</f>
        <v>6024 ZZ C3</v>
      </c>
      <c r="N7" s="604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3"/>
      <c r="BB7" s="103"/>
      <c r="BC7" s="103"/>
      <c r="BD7" s="103"/>
    </row>
    <row r="8" spans="1:56" s="104" customFormat="1" ht="18" customHeight="1" thickBot="1">
      <c r="A8" s="105" t="s">
        <v>17</v>
      </c>
      <c r="B8" s="99"/>
      <c r="C8" s="593" t="str">
        <f>'driving mode datasheet'!C8</f>
        <v>IC 06</v>
      </c>
      <c r="D8" s="594"/>
      <c r="E8" s="106" t="s">
        <v>19</v>
      </c>
      <c r="F8" s="107"/>
      <c r="G8" s="108" t="s">
        <v>20</v>
      </c>
      <c r="H8" s="595"/>
      <c r="I8" s="595"/>
      <c r="J8" s="609" t="str">
        <f>'driving mode datasheet'!J8</f>
        <v>Non Drive End</v>
      </c>
      <c r="K8" s="609"/>
      <c r="L8" s="609"/>
      <c r="M8" s="605"/>
      <c r="N8" s="606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3"/>
      <c r="BB8" s="103"/>
      <c r="BC8" s="103"/>
      <c r="BD8" s="103"/>
    </row>
    <row r="9" spans="1:56" s="104" customFormat="1" ht="18" customHeight="1" thickBot="1">
      <c r="A9" s="390" t="s">
        <v>21</v>
      </c>
      <c r="B9" s="391"/>
      <c r="C9" s="607"/>
      <c r="D9" s="608"/>
      <c r="E9" s="109" t="s">
        <v>22</v>
      </c>
      <c r="F9" s="610">
        <f>'driving mode datasheet'!F9</f>
        <v>6</v>
      </c>
      <c r="G9" s="110" t="s">
        <v>23</v>
      </c>
      <c r="H9" s="100"/>
      <c r="I9" s="611">
        <f>'driving mode datasheet'!I9</f>
        <v>13.89</v>
      </c>
      <c r="J9" s="612"/>
      <c r="K9" s="111" t="s">
        <v>24</v>
      </c>
      <c r="M9" s="615">
        <f>'driving mode datasheet'!M9</f>
        <v>2275</v>
      </c>
      <c r="N9" s="616"/>
      <c r="O9" s="102"/>
      <c r="P9" s="517" t="str">
        <f>'driving mode datasheet'!P9</f>
        <v xml:space="preserve">   400V 50Hz</v>
      </c>
      <c r="Q9" s="102"/>
      <c r="R9" s="518"/>
      <c r="S9" s="518"/>
      <c r="T9" s="518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I9" s="102"/>
      <c r="AJ9" s="102"/>
      <c r="AK9" s="102"/>
      <c r="AL9" s="161"/>
      <c r="AM9" s="161"/>
      <c r="AN9" s="161"/>
      <c r="AO9" s="162"/>
      <c r="AP9" s="161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3"/>
      <c r="BB9" s="103"/>
      <c r="BC9" s="103"/>
      <c r="BD9" s="103"/>
    </row>
    <row r="10" spans="1:56" s="104" customFormat="1" ht="18" customHeight="1" thickBot="1">
      <c r="A10" s="110" t="s">
        <v>25</v>
      </c>
      <c r="B10" s="98"/>
      <c r="C10" s="100"/>
      <c r="D10" s="392"/>
      <c r="E10" s="112" t="s">
        <v>26</v>
      </c>
      <c r="F10" s="596"/>
      <c r="G10" s="619" t="s">
        <v>27</v>
      </c>
      <c r="H10" s="620"/>
      <c r="I10" s="613"/>
      <c r="J10" s="614"/>
      <c r="K10" s="114" t="s">
        <v>28</v>
      </c>
      <c r="L10" s="115"/>
      <c r="M10" s="617"/>
      <c r="N10" s="618"/>
      <c r="O10" s="102"/>
      <c r="P10" s="517" t="str">
        <f>'driving mode datasheet'!P10</f>
        <v xml:space="preserve">   480V 60Hz</v>
      </c>
      <c r="Q10" s="519">
        <v>1</v>
      </c>
      <c r="R10" s="102"/>
      <c r="S10" s="520"/>
      <c r="T10" s="518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I10" s="102"/>
      <c r="AJ10" s="102"/>
      <c r="AK10" s="102"/>
      <c r="AL10" s="161"/>
      <c r="AM10" s="161"/>
      <c r="AN10" s="161"/>
      <c r="AO10" s="162"/>
      <c r="AP10" s="161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3"/>
      <c r="BB10" s="103"/>
      <c r="BC10" s="103"/>
      <c r="BD10" s="103"/>
    </row>
    <row r="11" spans="1:56" s="104" customFormat="1" ht="18" customHeight="1">
      <c r="A11" s="116" t="s">
        <v>29</v>
      </c>
      <c r="B11" s="117"/>
      <c r="C11" s="621" t="str">
        <f>IF($Q$10=1,P11,IF($Q$10=2,Q11,""))</f>
        <v>4 KW</v>
      </c>
      <c r="D11" s="622"/>
      <c r="E11" s="118" t="s">
        <v>30</v>
      </c>
      <c r="F11" s="119"/>
      <c r="G11" s="610" t="str">
        <f>'driving mode datasheet'!G11</f>
        <v>IP 23</v>
      </c>
      <c r="H11" s="120" t="s">
        <v>31</v>
      </c>
      <c r="I11" s="100"/>
      <c r="J11" s="121" t="str">
        <f>'driving mode datasheet'!J11</f>
        <v>IM B3</v>
      </c>
      <c r="K11" s="122" t="s">
        <v>33</v>
      </c>
      <c r="L11" s="110" t="s">
        <v>34</v>
      </c>
      <c r="M11" s="97"/>
      <c r="N11" s="624" t="str">
        <f>'driving mode datasheet'!N11</f>
        <v>B</v>
      </c>
      <c r="O11" s="102"/>
      <c r="P11" s="517" t="str">
        <f>'driving mode datasheet'!P11</f>
        <v>4 KW</v>
      </c>
      <c r="Q11" s="517" t="str">
        <f>'driving mode datasheet'!Q11</f>
        <v>4 KW</v>
      </c>
      <c r="R11" s="102"/>
      <c r="S11" s="518"/>
      <c r="T11" s="518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I11" s="102"/>
      <c r="AJ11" s="102"/>
      <c r="AK11" s="102"/>
      <c r="AL11" s="161"/>
      <c r="AM11" s="161"/>
      <c r="AN11" s="162"/>
      <c r="AO11" s="161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3"/>
      <c r="BB11" s="103"/>
      <c r="BC11" s="103"/>
      <c r="BD11" s="103"/>
    </row>
    <row r="12" spans="1:56" s="104" customFormat="1" ht="18" customHeight="1" thickBot="1">
      <c r="A12" s="116" t="s">
        <v>36</v>
      </c>
      <c r="B12" s="117"/>
      <c r="C12" s="621" t="str">
        <f>IF($Q$10=1,P12,IF($Q$10=2,Q12,""))</f>
        <v>7,4 A</v>
      </c>
      <c r="D12" s="622"/>
      <c r="E12" s="123" t="s">
        <v>37</v>
      </c>
      <c r="F12" s="124"/>
      <c r="G12" s="623"/>
      <c r="H12" s="125" t="s">
        <v>38</v>
      </c>
      <c r="I12" s="113"/>
      <c r="J12" s="124" t="str">
        <f>'driving mode datasheet'!J12</f>
        <v>IM B35</v>
      </c>
      <c r="K12" s="126" t="s">
        <v>40</v>
      </c>
      <c r="L12" s="127" t="s">
        <v>41</v>
      </c>
      <c r="M12" s="109"/>
      <c r="N12" s="625"/>
      <c r="O12" s="102"/>
      <c r="P12" s="517" t="str">
        <f>'driving mode datasheet'!P12</f>
        <v>7,4 A</v>
      </c>
      <c r="Q12" s="517" t="str">
        <f>'driving mode datasheet'!Q12</f>
        <v>7,4 A</v>
      </c>
      <c r="R12" s="102"/>
      <c r="S12" s="518"/>
      <c r="T12" s="518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I12" s="102"/>
      <c r="AJ12" s="102"/>
      <c r="AK12" s="102"/>
      <c r="AL12" s="161"/>
      <c r="AM12" s="161"/>
      <c r="AN12" s="162"/>
      <c r="AO12" s="161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3"/>
      <c r="BB12" s="103"/>
      <c r="BC12" s="103"/>
      <c r="BD12" s="103"/>
    </row>
    <row r="13" spans="1:56" s="104" customFormat="1" ht="18" customHeight="1">
      <c r="A13" s="116" t="s">
        <v>42</v>
      </c>
      <c r="B13" s="117"/>
      <c r="C13" s="621" t="str">
        <f>IF($Q$10=1,P13,IF($Q$10=2,Q13,""))</f>
        <v>2925rpm</v>
      </c>
      <c r="D13" s="622"/>
      <c r="E13" s="128" t="s">
        <v>43</v>
      </c>
      <c r="F13" s="115"/>
      <c r="G13" s="626" t="str">
        <f>'driving mode datasheet'!G13</f>
        <v>&lt; 90 dB</v>
      </c>
      <c r="H13" s="627"/>
      <c r="I13" s="129" t="s">
        <v>44</v>
      </c>
      <c r="J13" s="130"/>
      <c r="K13" s="130"/>
      <c r="L13" s="630">
        <f>'driving mode datasheet'!L13</f>
        <v>4000</v>
      </c>
      <c r="M13" s="630"/>
      <c r="N13" s="631"/>
      <c r="O13" s="102"/>
      <c r="P13" s="517" t="str">
        <f>'driving mode datasheet'!P13</f>
        <v>2925rpm</v>
      </c>
      <c r="Q13" s="517" t="str">
        <f>'driving mode datasheet'!Q13</f>
        <v>3500rpm</v>
      </c>
      <c r="R13" s="102"/>
      <c r="S13" s="518"/>
      <c r="T13" s="518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I13" s="102"/>
      <c r="AJ13" s="102"/>
      <c r="AK13" s="102"/>
      <c r="AL13" s="161"/>
      <c r="AM13" s="161"/>
      <c r="AN13" s="162"/>
      <c r="AO13" s="161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102"/>
      <c r="BA13" s="103"/>
      <c r="BB13" s="103"/>
      <c r="BC13" s="103"/>
      <c r="BD13" s="103"/>
    </row>
    <row r="14" spans="1:56" s="104" customFormat="1" ht="18" customHeight="1" thickBot="1">
      <c r="A14" s="116" t="s">
        <v>45</v>
      </c>
      <c r="C14" s="621" t="str">
        <f>IF($Q$10=1,P14,IF($Q$10=2,Q14,""))</f>
        <v xml:space="preserve">4000 m3/h </v>
      </c>
      <c r="D14" s="622"/>
      <c r="E14" s="131" t="s">
        <v>46</v>
      </c>
      <c r="F14" s="132"/>
      <c r="G14" s="628"/>
      <c r="H14" s="629"/>
      <c r="I14" s="133" t="s">
        <v>47</v>
      </c>
      <c r="J14" s="132"/>
      <c r="K14" s="132"/>
      <c r="L14" s="632"/>
      <c r="M14" s="632"/>
      <c r="N14" s="633"/>
      <c r="O14" s="102"/>
      <c r="P14" s="517" t="str">
        <f>'driving mode datasheet'!P14</f>
        <v xml:space="preserve">4000 m3/h </v>
      </c>
      <c r="Q14" s="517" t="str">
        <f>'driving mode datasheet'!Q14</f>
        <v xml:space="preserve">4000 m3/h </v>
      </c>
      <c r="R14" s="102"/>
      <c r="S14" s="518"/>
      <c r="T14" s="518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I14" s="102"/>
      <c r="AJ14" s="102"/>
      <c r="AK14" s="102"/>
      <c r="AL14" s="161"/>
      <c r="AM14" s="161"/>
      <c r="AN14" s="162"/>
      <c r="AO14" s="161"/>
      <c r="AP14" s="102"/>
      <c r="AQ14" s="102"/>
      <c r="AR14" s="102"/>
      <c r="AS14" s="102"/>
      <c r="AT14" s="102"/>
      <c r="AU14" s="102"/>
      <c r="AV14" s="102"/>
      <c r="AW14" s="102"/>
      <c r="AX14" s="102"/>
      <c r="AY14" s="102"/>
      <c r="AZ14" s="102"/>
      <c r="BA14" s="103"/>
      <c r="BB14" s="103"/>
      <c r="BC14" s="103"/>
      <c r="BD14" s="103"/>
    </row>
    <row r="15" spans="1:56" s="104" customFormat="1" ht="18" customHeight="1" thickBot="1">
      <c r="A15" s="134" t="s">
        <v>48</v>
      </c>
      <c r="B15" s="113"/>
      <c r="C15" s="634" t="str">
        <f>IF($Q$10=1,P15,IF($Q$10=2,Q15,""))</f>
        <v xml:space="preserve">2450 Pa </v>
      </c>
      <c r="D15" s="635"/>
      <c r="E15" s="97" t="s">
        <v>49</v>
      </c>
      <c r="F15" s="594" t="str">
        <f>'driving mode datasheet'!F15</f>
        <v>Cl. H</v>
      </c>
      <c r="G15" s="110" t="s">
        <v>51</v>
      </c>
      <c r="I15" s="594" t="str">
        <f>'driving mode datasheet'!I15</f>
        <v>Cl. F</v>
      </c>
      <c r="J15" s="110" t="s">
        <v>53</v>
      </c>
      <c r="K15" s="594" t="str">
        <f>'driving mode datasheet'!K15</f>
        <v>PTC155º C</v>
      </c>
      <c r="L15" s="403" t="s">
        <v>54</v>
      </c>
      <c r="M15" s="401"/>
      <c r="N15" s="713" t="str">
        <f>'driving mode datasheet'!N15</f>
        <v>3xPt100</v>
      </c>
      <c r="O15" s="102"/>
      <c r="P15" s="517" t="str">
        <f>'driving mode datasheet'!P15</f>
        <v xml:space="preserve">2450 Pa </v>
      </c>
      <c r="Q15" s="517" t="str">
        <f>'driving mode datasheet'!Q15</f>
        <v xml:space="preserve">2450 Pa </v>
      </c>
      <c r="R15" s="102"/>
      <c r="S15" s="518"/>
      <c r="T15" s="518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I15" s="102"/>
      <c r="AJ15" s="102"/>
      <c r="AK15" s="102"/>
      <c r="AL15" s="161"/>
      <c r="AM15" s="161"/>
      <c r="AN15" s="162"/>
      <c r="AO15" s="161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3"/>
      <c r="BB15" s="103"/>
      <c r="BC15" s="103"/>
      <c r="BD15" s="103"/>
    </row>
    <row r="16" spans="1:56" s="104" customFormat="1" ht="18" customHeight="1" thickBot="1">
      <c r="A16" s="638" t="s">
        <v>56</v>
      </c>
      <c r="B16" s="639"/>
      <c r="C16" s="639"/>
      <c r="D16" s="640"/>
      <c r="E16" s="135" t="s">
        <v>57</v>
      </c>
      <c r="F16" s="596"/>
      <c r="G16" s="135" t="s">
        <v>58</v>
      </c>
      <c r="I16" s="596"/>
      <c r="J16" s="135" t="s">
        <v>59</v>
      </c>
      <c r="K16" s="596"/>
      <c r="L16" s="404" t="s">
        <v>60</v>
      </c>
      <c r="M16" s="401"/>
      <c r="N16" s="714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I16" s="102"/>
      <c r="AJ16" s="102"/>
      <c r="AK16" s="102"/>
      <c r="AL16" s="161"/>
      <c r="AM16" s="161"/>
      <c r="AN16" s="162"/>
      <c r="AO16" s="161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2"/>
      <c r="BA16" s="103"/>
      <c r="BB16" s="103"/>
      <c r="BC16" s="103"/>
      <c r="BD16" s="103"/>
    </row>
    <row r="17" spans="1:56" s="104" customFormat="1" ht="18" customHeight="1">
      <c r="A17" s="638"/>
      <c r="B17" s="639"/>
      <c r="C17" s="639"/>
      <c r="D17" s="640"/>
      <c r="E17" s="110" t="s">
        <v>61</v>
      </c>
      <c r="F17" s="593" t="str">
        <f>'driving mode datasheet'!F17</f>
        <v>&lt; 40 ºC  &lt; 1000 m</v>
      </c>
      <c r="G17" s="593"/>
      <c r="H17" s="594"/>
      <c r="I17" s="110" t="s">
        <v>63</v>
      </c>
      <c r="J17" s="100"/>
      <c r="K17" s="593" t="str">
        <f>'driving mode datasheet'!K17</f>
        <v>4 kHz ; IVIC  C/B acc. EN60034-25</v>
      </c>
      <c r="L17" s="593"/>
      <c r="M17" s="593"/>
      <c r="N17" s="594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I17" s="102"/>
      <c r="AJ17" s="102"/>
      <c r="AK17" s="102"/>
      <c r="AL17" s="161"/>
      <c r="AM17" s="161"/>
      <c r="AN17" s="162"/>
      <c r="AO17" s="161"/>
      <c r="AP17" s="102"/>
      <c r="AQ17" s="102"/>
      <c r="AR17" s="102"/>
      <c r="AS17" s="102"/>
      <c r="AT17" s="102"/>
      <c r="AU17" s="102"/>
      <c r="AV17" s="102"/>
      <c r="AW17" s="102"/>
      <c r="AX17" s="102"/>
      <c r="AY17" s="102"/>
      <c r="AZ17" s="102"/>
      <c r="BA17" s="103"/>
      <c r="BB17" s="103"/>
      <c r="BC17" s="103"/>
      <c r="BD17" s="103"/>
    </row>
    <row r="18" spans="1:56" s="104" customFormat="1" ht="18" customHeight="1" thickBot="1">
      <c r="A18" s="641"/>
      <c r="B18" s="642"/>
      <c r="C18" s="642"/>
      <c r="D18" s="643"/>
      <c r="E18" s="135" t="s">
        <v>64</v>
      </c>
      <c r="F18" s="595"/>
      <c r="G18" s="595"/>
      <c r="H18" s="596"/>
      <c r="I18" s="135" t="s">
        <v>65</v>
      </c>
      <c r="J18" s="113"/>
      <c r="K18" s="595"/>
      <c r="L18" s="595"/>
      <c r="M18" s="595"/>
      <c r="N18" s="596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I18" s="102"/>
      <c r="AJ18" s="102"/>
      <c r="AK18" s="102"/>
      <c r="AL18" s="161"/>
      <c r="AM18" s="161"/>
      <c r="AN18" s="162"/>
      <c r="AO18" s="161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3"/>
      <c r="BB18" s="103"/>
      <c r="BC18" s="103"/>
      <c r="BD18" s="103"/>
    </row>
    <row r="19" spans="1:56" s="104" customFormat="1" ht="18" customHeight="1">
      <c r="A19" s="110" t="s">
        <v>66</v>
      </c>
      <c r="B19" s="100"/>
      <c r="C19" s="593" t="str">
        <f>'driving mode datasheet'!C19</f>
        <v>EN60034</v>
      </c>
      <c r="D19" s="594"/>
      <c r="E19" s="469" t="s">
        <v>256</v>
      </c>
      <c r="F19" s="470"/>
      <c r="G19" s="470"/>
      <c r="H19" s="470"/>
      <c r="I19" s="470"/>
      <c r="J19" s="471" t="s">
        <v>257</v>
      </c>
      <c r="K19" s="472"/>
      <c r="L19" s="473"/>
      <c r="M19" s="473"/>
      <c r="N19" s="474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I19" s="102"/>
      <c r="AJ19" s="102"/>
      <c r="AK19" s="102"/>
      <c r="AL19" s="161"/>
      <c r="AM19" s="161"/>
      <c r="AN19" s="162"/>
      <c r="AO19" s="161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3"/>
      <c r="BB19" s="103"/>
      <c r="BC19" s="103"/>
      <c r="BD19" s="103"/>
    </row>
    <row r="20" spans="1:56" s="104" customFormat="1" ht="18" customHeight="1" thickBot="1">
      <c r="A20" s="135" t="s">
        <v>68</v>
      </c>
      <c r="B20" s="113"/>
      <c r="C20" s="595"/>
      <c r="D20" s="596"/>
      <c r="E20" s="475" t="s">
        <v>258</v>
      </c>
      <c r="F20" s="470"/>
      <c r="G20" s="470"/>
      <c r="H20" s="470"/>
      <c r="I20" s="470"/>
      <c r="J20" s="476" t="s">
        <v>259</v>
      </c>
      <c r="K20" s="477"/>
      <c r="L20" s="478"/>
      <c r="M20" s="478"/>
      <c r="N20" s="479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I20" s="102"/>
      <c r="AJ20" s="102"/>
      <c r="AK20" s="102"/>
      <c r="AL20" s="161"/>
      <c r="AM20" s="161"/>
      <c r="AN20" s="162"/>
      <c r="AO20" s="161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3"/>
      <c r="BB20" s="103"/>
      <c r="BC20" s="103"/>
      <c r="BD20" s="103"/>
    </row>
    <row r="21" spans="1:56" s="136" customFormat="1" ht="18" customHeight="1">
      <c r="A21" s="662" t="s">
        <v>69</v>
      </c>
      <c r="B21" s="663"/>
      <c r="C21" s="663"/>
      <c r="D21" s="663"/>
      <c r="E21" s="664" t="s">
        <v>70</v>
      </c>
      <c r="F21" s="644">
        <v>400</v>
      </c>
      <c r="G21" s="645"/>
      <c r="H21" s="662" t="s">
        <v>71</v>
      </c>
      <c r="I21" s="663"/>
      <c r="J21" s="663"/>
      <c r="K21" s="663"/>
      <c r="L21" s="664" t="s">
        <v>72</v>
      </c>
      <c r="M21" s="644">
        <v>400</v>
      </c>
      <c r="N21" s="645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I21" s="74"/>
      <c r="AJ21" s="74"/>
      <c r="AK21" s="74"/>
      <c r="AL21" s="290"/>
      <c r="AM21" s="290"/>
      <c r="AN21" s="290"/>
      <c r="AO21" s="291"/>
      <c r="AP21" s="290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5"/>
      <c r="BB21" s="75"/>
      <c r="BC21" s="75"/>
      <c r="BD21" s="75"/>
    </row>
    <row r="22" spans="1:56" s="136" customFormat="1" ht="18" customHeight="1" thickBot="1">
      <c r="A22" s="648" t="s">
        <v>73</v>
      </c>
      <c r="B22" s="649"/>
      <c r="C22" s="649"/>
      <c r="D22" s="649"/>
      <c r="E22" s="665"/>
      <c r="F22" s="646"/>
      <c r="G22" s="647"/>
      <c r="H22" s="648" t="s">
        <v>74</v>
      </c>
      <c r="I22" s="649"/>
      <c r="J22" s="649"/>
      <c r="K22" s="649"/>
      <c r="L22" s="665"/>
      <c r="M22" s="646"/>
      <c r="N22" s="647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I22" s="74"/>
      <c r="AJ22" s="74"/>
      <c r="AK22" s="74"/>
      <c r="AL22" s="290"/>
      <c r="AM22" s="290"/>
      <c r="AN22" s="290"/>
      <c r="AO22" s="291"/>
      <c r="AP22" s="290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5"/>
      <c r="BB22" s="75"/>
      <c r="BC22" s="75"/>
      <c r="BD22" s="75"/>
    </row>
    <row r="23" spans="1:56" s="136" customFormat="1" ht="18" customHeight="1" thickBot="1">
      <c r="B23" s="117"/>
      <c r="C23" s="117"/>
      <c r="D23" s="117"/>
      <c r="E23" s="117"/>
      <c r="F23" s="137" t="str">
        <f>IF(F21&gt;500," Vb   ha de ser / must be  &lt; 500 V"," ")</f>
        <v xml:space="preserve"> </v>
      </c>
      <c r="G23" s="138" t="str">
        <f>IF(M21&gt;500,"  Vc   ha de ser / must be   &lt; 500 V"," ")</f>
        <v xml:space="preserve"> </v>
      </c>
      <c r="H23" s="139"/>
      <c r="I23" s="140"/>
      <c r="J23" s="141"/>
      <c r="K23" s="140"/>
      <c r="L23" s="140"/>
      <c r="M23" s="139"/>
      <c r="N23" s="137" t="str">
        <f>IF(M21&lt;F21,"Vc   ha de ser / must be   &gt; Vb"," ")</f>
        <v xml:space="preserve"> </v>
      </c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I23" s="74"/>
      <c r="AJ23" s="74"/>
      <c r="AK23" s="74"/>
      <c r="AL23" s="290"/>
      <c r="AM23" s="290"/>
      <c r="AN23" s="291"/>
      <c r="AO23" s="290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5"/>
      <c r="BB23" s="75"/>
      <c r="BC23" s="75"/>
      <c r="BD23" s="75"/>
    </row>
    <row r="24" spans="1:56" s="136" customFormat="1" ht="18" customHeight="1">
      <c r="B24" s="650" t="s">
        <v>75</v>
      </c>
      <c r="C24" s="651"/>
      <c r="D24" s="651"/>
      <c r="E24" s="651"/>
      <c r="F24" s="654" t="s">
        <v>76</v>
      </c>
      <c r="G24" s="142"/>
      <c r="H24" s="656" t="s">
        <v>77</v>
      </c>
      <c r="I24" s="657"/>
      <c r="J24" s="657"/>
      <c r="K24" s="657"/>
      <c r="L24" s="660">
        <v>0.4</v>
      </c>
      <c r="M24" s="143" t="str">
        <f>IF(L24&gt;80%,"max 80%","")</f>
        <v/>
      </c>
      <c r="N24" s="14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I24" s="74"/>
      <c r="AJ24" s="74"/>
      <c r="AK24" s="74"/>
      <c r="AL24" s="290"/>
      <c r="AM24" s="290"/>
      <c r="AN24" s="291"/>
      <c r="AO24" s="290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5"/>
      <c r="BB24" s="75"/>
      <c r="BC24" s="75"/>
      <c r="BD24" s="75"/>
    </row>
    <row r="25" spans="1:56" s="136" customFormat="1" ht="18" customHeight="1" thickBot="1">
      <c r="A25" s="107"/>
      <c r="B25" s="652"/>
      <c r="C25" s="653"/>
      <c r="D25" s="653"/>
      <c r="E25" s="653"/>
      <c r="F25" s="655"/>
      <c r="G25" s="145"/>
      <c r="H25" s="658"/>
      <c r="I25" s="659"/>
      <c r="J25" s="659"/>
      <c r="K25" s="659"/>
      <c r="L25" s="661"/>
      <c r="M25" s="146" t="str">
        <f>IF(L24&lt;20%,"min 20%","")</f>
        <v/>
      </c>
      <c r="N25" s="85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I25" s="74"/>
      <c r="AJ25" s="74"/>
      <c r="AK25" s="74"/>
      <c r="AL25" s="290"/>
      <c r="AM25" s="291"/>
      <c r="AN25" s="290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5"/>
      <c r="BB25" s="75"/>
      <c r="BC25" s="75"/>
      <c r="BD25" s="75"/>
    </row>
    <row r="26" spans="1:56" s="153" customFormat="1" ht="100.5" customHeight="1" thickBot="1">
      <c r="A26" s="147" t="s">
        <v>78</v>
      </c>
      <c r="B26" s="148" t="s">
        <v>79</v>
      </c>
      <c r="C26" s="149" t="s">
        <v>80</v>
      </c>
      <c r="D26" s="148" t="s">
        <v>81</v>
      </c>
      <c r="E26" s="150" t="s">
        <v>82</v>
      </c>
      <c r="F26" s="151" t="s">
        <v>83</v>
      </c>
      <c r="G26" s="149" t="s">
        <v>84</v>
      </c>
      <c r="H26" s="151" t="s">
        <v>79</v>
      </c>
      <c r="I26" s="149" t="s">
        <v>85</v>
      </c>
      <c r="J26" s="148" t="s">
        <v>81</v>
      </c>
      <c r="K26" s="150" t="s">
        <v>82</v>
      </c>
      <c r="L26" s="151" t="s">
        <v>83</v>
      </c>
      <c r="M26" s="149" t="s">
        <v>84</v>
      </c>
      <c r="N26" s="152" t="s">
        <v>86</v>
      </c>
      <c r="O26" s="560" t="s">
        <v>87</v>
      </c>
      <c r="P26" s="521" t="s">
        <v>88</v>
      </c>
      <c r="Q26" s="396" t="s">
        <v>83</v>
      </c>
      <c r="R26" s="522" t="s">
        <v>82</v>
      </c>
      <c r="S26" s="521" t="s">
        <v>89</v>
      </c>
      <c r="T26" s="397"/>
      <c r="U26" s="521" t="s">
        <v>90</v>
      </c>
      <c r="V26" s="521" t="s">
        <v>91</v>
      </c>
      <c r="W26" s="521" t="s">
        <v>92</v>
      </c>
      <c r="X26" s="521" t="s">
        <v>93</v>
      </c>
      <c r="Y26" s="521" t="s">
        <v>94</v>
      </c>
      <c r="Z26" s="521" t="s">
        <v>95</v>
      </c>
      <c r="AA26" s="521" t="s">
        <v>96</v>
      </c>
      <c r="AB26" s="521" t="s">
        <v>97</v>
      </c>
      <c r="AC26" s="521" t="s">
        <v>98</v>
      </c>
      <c r="AD26" s="397" t="s">
        <v>229</v>
      </c>
      <c r="AE26" s="397"/>
      <c r="AF26" s="397"/>
      <c r="AG26" s="397"/>
      <c r="AI26" s="397"/>
      <c r="AJ26" s="397"/>
      <c r="AK26" s="397"/>
      <c r="AL26" s="398"/>
      <c r="AM26" s="399"/>
      <c r="AN26" s="398"/>
      <c r="AO26" s="397"/>
      <c r="AP26" s="397"/>
      <c r="AQ26" s="397"/>
      <c r="AR26" s="397"/>
      <c r="AS26" s="397"/>
      <c r="AT26" s="397"/>
      <c r="AU26" s="397"/>
      <c r="AV26" s="397"/>
      <c r="AW26" s="397"/>
      <c r="AX26" s="397"/>
      <c r="AY26" s="397"/>
      <c r="AZ26" s="397"/>
      <c r="BA26" s="154"/>
      <c r="BB26" s="154"/>
      <c r="BC26" s="154"/>
      <c r="BD26" s="154"/>
    </row>
    <row r="27" spans="1:56" s="136" customFormat="1" ht="18" customHeight="1">
      <c r="A27" s="468" t="str">
        <f>RESUM!B9</f>
        <v>A61</v>
      </c>
      <c r="B27" s="286">
        <f>RESUM!B11</f>
        <v>6200</v>
      </c>
      <c r="C27" s="432">
        <f>RESUM!B15</f>
        <v>423.59939306151637</v>
      </c>
      <c r="D27" s="434">
        <f t="shared" ref="D27:D33" si="0">E27*$B27*PI()/30000</f>
        <v>267.76883271999054</v>
      </c>
      <c r="E27" s="287">
        <f>(F27*120/$F$9-$S27)</f>
        <v>412.42000000000007</v>
      </c>
      <c r="F27" s="288">
        <f>$Q27*$F$21/'driving mode datasheet'!$F$21</f>
        <v>20</v>
      </c>
      <c r="G27" s="158">
        <f t="shared" ref="G27:G33" si="1">IF(AC27&lt;$L$13,AC27,$L$13)</f>
        <v>590.5860248150293</v>
      </c>
      <c r="H27" s="156">
        <f t="shared" ref="H27:H40" si="2">IF(U27&lt;X27*0.95,U27,X27*0.95)</f>
        <v>9232.2637734617329</v>
      </c>
      <c r="I27" s="431">
        <f>MIN(V27:W27)</f>
        <v>610.4389003855722</v>
      </c>
      <c r="J27" s="435">
        <f t="shared" ref="J27:J40" si="3">MIN(Z27,H27*E27*PI()/30000)</f>
        <v>398.72782161014572</v>
      </c>
      <c r="K27" s="159">
        <f>MIN(E27,M27)</f>
        <v>394.5282183645964</v>
      </c>
      <c r="L27" s="160">
        <f t="shared" ref="L27:L40" si="4">(K27+S27*H27/B27)*$F$9/120</f>
        <v>18.801695466081469</v>
      </c>
      <c r="M27" s="289">
        <f>MIN($L$13,MAX(AB27,AA27))</f>
        <v>394.5282183645964</v>
      </c>
      <c r="N27" s="438">
        <f>RESUM!B32</f>
        <v>143.98229509386394</v>
      </c>
      <c r="O27" s="561">
        <f>'driving mode parameters'!B81</f>
        <v>0.92740060976946359</v>
      </c>
      <c r="P27" s="523">
        <f>'driving mode parameters'!B82</f>
        <v>0.84106158221216309</v>
      </c>
      <c r="Q27" s="524">
        <f>'driving mode parameters'!B75</f>
        <v>25</v>
      </c>
      <c r="R27" s="524">
        <f>'driving mode parameters'!B76</f>
        <v>512.42000000000007</v>
      </c>
      <c r="S27" s="524">
        <f>Q27*120/$F$9-R27</f>
        <v>-12.420000000000073</v>
      </c>
      <c r="T27" s="102"/>
      <c r="U27" s="525">
        <f t="shared" ref="U27:U40" si="5">B27/((C27^2-N27^2)^0.5)*(V27^2-N27^2)^0.5</f>
        <v>9232.2637734617329</v>
      </c>
      <c r="V27" s="525">
        <f t="shared" ref="V27:V40" si="6">IF(AND($L$24&gt;=20%,$L$24&lt;=80%)=TRUE,((C27^2*0.9-N27^2*(1-$L$24))/$L$24)^0.5,0)</f>
        <v>610.4389003855722</v>
      </c>
      <c r="W27" s="525">
        <f>(((V27^2-N27^2)^0.5*X27/U27)^2+N27^2)^0.5</f>
        <v>893.396729876991</v>
      </c>
      <c r="X27" s="525">
        <f>X28</f>
        <v>13722.252236636758</v>
      </c>
      <c r="Y27" s="525">
        <f>'driving mode datasheet'!Y27*$M$21/'driving mode datasheet'!$M$21*F27/'driving mode datasheet'!F27*'driving mode datasheet'!F$21/'absorbing mode datasheet'!F$21</f>
        <v>327.1812112704331</v>
      </c>
      <c r="Z27" s="525">
        <f t="shared" ref="Z27:Z40" si="7">X27*Y27*PI()/30000</f>
        <v>470.15642125431953</v>
      </c>
      <c r="AA27" s="525">
        <f>AC27*(D27/J27)^(1/AD27)</f>
        <v>375.07227460715376</v>
      </c>
      <c r="AB27" s="525">
        <f t="shared" ref="AB27:AB33" si="8">AC27*(B27*E27/AC27/H27)^(1/(1+AD27))</f>
        <v>394.5282183645964</v>
      </c>
      <c r="AC27" s="526">
        <f>0.95*Y27*(Z27/D27)^(1/AD27)</f>
        <v>590.5860248150293</v>
      </c>
      <c r="AD27" s="397">
        <f>'limit 480V'!Z25</f>
        <v>0.877</v>
      </c>
      <c r="AE27" s="74"/>
      <c r="AF27" s="74"/>
      <c r="AG27" s="74"/>
      <c r="AI27" s="74"/>
      <c r="AJ27" s="74"/>
      <c r="AK27" s="74"/>
      <c r="AL27" s="290"/>
      <c r="AM27" s="290"/>
      <c r="AN27" s="290"/>
      <c r="AO27" s="291"/>
      <c r="AP27" s="290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5"/>
      <c r="BB27" s="75"/>
      <c r="BC27" s="75"/>
      <c r="BD27" s="75"/>
    </row>
    <row r="28" spans="1:56" s="136" customFormat="1" ht="18" customHeight="1">
      <c r="A28" s="468" t="str">
        <f>RESUM!C9</f>
        <v>B61</v>
      </c>
      <c r="B28" s="286">
        <f>RESUM!C11</f>
        <v>6200</v>
      </c>
      <c r="C28" s="432">
        <f>RESUM!C15</f>
        <v>466.18115901583298</v>
      </c>
      <c r="D28" s="434">
        <f t="shared" si="0"/>
        <v>288.63612888317482</v>
      </c>
      <c r="E28" s="287">
        <f t="shared" ref="E28:E40" si="9">(F28*120/$F$9-$S28)</f>
        <v>444.55999999999995</v>
      </c>
      <c r="F28" s="288">
        <f>$Q28*$F$21/'driving mode datasheet'!$F$21</f>
        <v>21.6</v>
      </c>
      <c r="G28" s="158">
        <f t="shared" si="1"/>
        <v>639.22956389370438</v>
      </c>
      <c r="H28" s="156">
        <f t="shared" si="2"/>
        <v>9236.3476163069299</v>
      </c>
      <c r="I28" s="431">
        <f t="shared" ref="I28:I40" si="10">MIN(V28:W28)</f>
        <v>673.30080869736332</v>
      </c>
      <c r="J28" s="433">
        <f t="shared" si="3"/>
        <v>429.990906611318</v>
      </c>
      <c r="K28" s="156">
        <f t="shared" ref="K28:K36" si="11">IF(E28&lt;M28,E28,M28)</f>
        <v>425.99009491344583</v>
      </c>
      <c r="L28" s="157">
        <f t="shared" si="4"/>
        <v>20.363952116149594</v>
      </c>
      <c r="M28" s="158">
        <f t="shared" ref="M28:M40" si="12">MIN($L$13,MAX(AB28,AA28))</f>
        <v>425.99009491344583</v>
      </c>
      <c r="N28" s="438">
        <f>RESUM!C32</f>
        <v>154.15789590655314</v>
      </c>
      <c r="O28" s="561">
        <f>'driving mode parameters'!C81</f>
        <v>0.93123985574983048</v>
      </c>
      <c r="P28" s="523">
        <f>'driving mode parameters'!C82</f>
        <v>0.82751515550341292</v>
      </c>
      <c r="Q28" s="524">
        <f>'driving mode parameters'!C75</f>
        <v>27</v>
      </c>
      <c r="R28" s="524">
        <f>'driving mode parameters'!C76</f>
        <v>552.55999999999995</v>
      </c>
      <c r="S28" s="524">
        <f t="shared" ref="S28:S40" si="13">Q28*120/$F$9-R28</f>
        <v>-12.559999999999945</v>
      </c>
      <c r="T28" s="102"/>
      <c r="U28" s="525">
        <f t="shared" si="5"/>
        <v>9236.3476163069299</v>
      </c>
      <c r="V28" s="525">
        <f t="shared" si="6"/>
        <v>673.30080869736332</v>
      </c>
      <c r="W28" s="525">
        <f t="shared" ref="W28:W40" si="14">(((V28^2-N28^2)^0.5*X28/U28)^2+N28^2)^0.5</f>
        <v>985.8644805248183</v>
      </c>
      <c r="X28" s="525">
        <f>X29</f>
        <v>13722.252236636758</v>
      </c>
      <c r="Y28" s="525">
        <f>'driving mode datasheet'!Y28*$M$21/'driving mode datasheet'!$M$21*F28/'driving mode datasheet'!F28*'driving mode datasheet'!F$21/'absorbing mode datasheet'!F$21</f>
        <v>353.35570817206792</v>
      </c>
      <c r="Z28" s="525">
        <f t="shared" si="7"/>
        <v>507.76893495466533</v>
      </c>
      <c r="AA28" s="525">
        <f t="shared" ref="AA28:AA40" si="15">AC28*(D28/J28)^(1/AD28)</f>
        <v>405.76038706737921</v>
      </c>
      <c r="AB28" s="525">
        <f t="shared" si="8"/>
        <v>425.99009491344583</v>
      </c>
      <c r="AC28" s="526">
        <f t="shared" ref="AC28:AC40" si="16">0.95*Y28*(Z28/D28)^(1/AD28)</f>
        <v>639.22956389370438</v>
      </c>
      <c r="AD28" s="397">
        <f>AD27</f>
        <v>0.877</v>
      </c>
      <c r="AE28" s="74"/>
      <c r="AF28" s="74"/>
      <c r="AG28" s="74"/>
      <c r="AI28" s="74"/>
      <c r="AJ28" s="74"/>
      <c r="AK28" s="74"/>
      <c r="AL28" s="290"/>
      <c r="AM28" s="290"/>
      <c r="AN28" s="290"/>
      <c r="AO28" s="291"/>
      <c r="AP28" s="290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5"/>
      <c r="BB28" s="75"/>
      <c r="BC28" s="75"/>
      <c r="BD28" s="75"/>
    </row>
    <row r="29" spans="1:56" s="136" customFormat="1" ht="18" customHeight="1">
      <c r="A29" s="468" t="str">
        <f>RESUM!D9</f>
        <v>C61</v>
      </c>
      <c r="B29" s="286">
        <f>RESUM!D11</f>
        <v>6200</v>
      </c>
      <c r="C29" s="432">
        <f>RESUM!D15</f>
        <v>515.66082283735523</v>
      </c>
      <c r="D29" s="434">
        <f t="shared" si="0"/>
        <v>319.53063481438096</v>
      </c>
      <c r="E29" s="287">
        <f t="shared" si="9"/>
        <v>492.14400000000001</v>
      </c>
      <c r="F29" s="288">
        <f>$Q29*$F$21/'driving mode datasheet'!$F$21</f>
        <v>24</v>
      </c>
      <c r="G29" s="158">
        <f t="shared" si="1"/>
        <v>713.23692367422439</v>
      </c>
      <c r="H29" s="156">
        <f t="shared" si="2"/>
        <v>9227.8155472754024</v>
      </c>
      <c r="I29" s="431">
        <f t="shared" si="10"/>
        <v>741.32383009409136</v>
      </c>
      <c r="J29" s="433">
        <f t="shared" si="3"/>
        <v>475.57576770498775</v>
      </c>
      <c r="K29" s="156">
        <f t="shared" si="11"/>
        <v>473.55543418919297</v>
      </c>
      <c r="L29" s="157">
        <f t="shared" si="4"/>
        <v>22.774041128765191</v>
      </c>
      <c r="M29" s="158">
        <f t="shared" si="12"/>
        <v>473.55543418919297</v>
      </c>
      <c r="N29" s="438">
        <f>RESUM!D32</f>
        <v>180.23626791066553</v>
      </c>
      <c r="O29" s="561">
        <f>'driving mode parameters'!D81</f>
        <v>0.9371711914959151</v>
      </c>
      <c r="P29" s="523">
        <f>'driving mode parameters'!D82</f>
        <v>0.83406148227951982</v>
      </c>
      <c r="Q29" s="524">
        <f>'driving mode parameters'!D75</f>
        <v>30</v>
      </c>
      <c r="R29" s="524">
        <f>'driving mode parameters'!D76</f>
        <v>612.14400000000001</v>
      </c>
      <c r="S29" s="524">
        <f t="shared" si="13"/>
        <v>-12.144000000000005</v>
      </c>
      <c r="T29" s="102"/>
      <c r="U29" s="525">
        <f t="shared" si="5"/>
        <v>9227.8155472754024</v>
      </c>
      <c r="V29" s="525">
        <f t="shared" si="6"/>
        <v>741.32383009409136</v>
      </c>
      <c r="W29" s="525">
        <f t="shared" si="14"/>
        <v>1084.3934143188139</v>
      </c>
      <c r="X29" s="525">
        <f>X30</f>
        <v>13722.252236636758</v>
      </c>
      <c r="Y29" s="525">
        <f>'driving mode datasheet'!Y29*$M$21/'driving mode datasheet'!$M$21*F29/'driving mode datasheet'!F29*'driving mode datasheet'!F$21/'absorbing mode datasheet'!F$21</f>
        <v>392.61745352451982</v>
      </c>
      <c r="Z29" s="525">
        <f t="shared" si="7"/>
        <v>564.18770550518354</v>
      </c>
      <c r="AA29" s="525">
        <f t="shared" si="15"/>
        <v>453.21499253010029</v>
      </c>
      <c r="AB29" s="525">
        <f t="shared" si="8"/>
        <v>473.55543418919297</v>
      </c>
      <c r="AC29" s="526">
        <f t="shared" si="16"/>
        <v>713.23692367422439</v>
      </c>
      <c r="AD29" s="397">
        <f t="shared" ref="AD29:AD40" si="17">AD28</f>
        <v>0.877</v>
      </c>
      <c r="AE29" s="74"/>
      <c r="AF29" s="74"/>
      <c r="AG29" s="74"/>
      <c r="AI29" s="74"/>
      <c r="AJ29" s="74"/>
      <c r="AK29" s="74"/>
      <c r="AL29" s="290"/>
      <c r="AM29" s="290"/>
      <c r="AN29" s="290"/>
      <c r="AO29" s="291"/>
      <c r="AP29" s="290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5"/>
      <c r="BB29" s="75"/>
      <c r="BC29" s="75"/>
      <c r="BD29" s="75"/>
    </row>
    <row r="30" spans="1:56" s="136" customFormat="1" ht="18" customHeight="1">
      <c r="A30" s="468" t="str">
        <f>RESUM!E9</f>
        <v>D61</v>
      </c>
      <c r="B30" s="286">
        <f>RESUM!E11</f>
        <v>6200</v>
      </c>
      <c r="C30" s="432">
        <f>RESUM!E15</f>
        <v>580.25100352450102</v>
      </c>
      <c r="D30" s="434">
        <f t="shared" si="0"/>
        <v>350.7640557610564</v>
      </c>
      <c r="E30" s="287">
        <f t="shared" si="9"/>
        <v>540.25</v>
      </c>
      <c r="F30" s="288">
        <f>$Q30*$F$21/'driving mode datasheet'!$F$21</f>
        <v>26.4</v>
      </c>
      <c r="G30" s="158">
        <f t="shared" si="1"/>
        <v>786.39627117556302</v>
      </c>
      <c r="H30" s="156">
        <f t="shared" si="2"/>
        <v>9232.1267618952497</v>
      </c>
      <c r="I30" s="431">
        <f t="shared" si="10"/>
        <v>836.12359167683201</v>
      </c>
      <c r="J30" s="433">
        <f t="shared" si="3"/>
        <v>522.30616553267191</v>
      </c>
      <c r="K30" s="156">
        <f t="shared" si="11"/>
        <v>520.7813658179598</v>
      </c>
      <c r="L30" s="157">
        <f t="shared" si="4"/>
        <v>25.127023509984951</v>
      </c>
      <c r="M30" s="158">
        <f t="shared" si="12"/>
        <v>520.7813658179598</v>
      </c>
      <c r="N30" s="438">
        <f>RESUM!E32</f>
        <v>197.40415462803315</v>
      </c>
      <c r="O30" s="561">
        <f>'driving mode parameters'!E81</f>
        <v>0.94110521824462379</v>
      </c>
      <c r="P30" s="523">
        <f>'driving mode parameters'!E82</f>
        <v>0.817415310491304</v>
      </c>
      <c r="Q30" s="524">
        <f>'driving mode parameters'!E75</f>
        <v>33</v>
      </c>
      <c r="R30" s="524">
        <f>'driving mode parameters'!E76</f>
        <v>672.25</v>
      </c>
      <c r="S30" s="524">
        <f t="shared" si="13"/>
        <v>-12.25</v>
      </c>
      <c r="T30" s="102"/>
      <c r="U30" s="525">
        <f t="shared" si="5"/>
        <v>9232.1267618952497</v>
      </c>
      <c r="V30" s="525">
        <f t="shared" si="6"/>
        <v>836.12359167683201</v>
      </c>
      <c r="W30" s="525">
        <f t="shared" si="14"/>
        <v>1223.6740265866708</v>
      </c>
      <c r="X30" s="525">
        <f>X31</f>
        <v>13722.252236636758</v>
      </c>
      <c r="Y30" s="525">
        <f>'driving mode datasheet'!Y30*$M$21/'driving mode datasheet'!$M$21*F30/'driving mode datasheet'!F30*'driving mode datasheet'!F$21/'absorbing mode datasheet'!F$21</f>
        <v>431.87919887697166</v>
      </c>
      <c r="Z30" s="525">
        <f t="shared" si="7"/>
        <v>620.60647605570171</v>
      </c>
      <c r="AA30" s="525">
        <f t="shared" si="15"/>
        <v>499.43685943812017</v>
      </c>
      <c r="AB30" s="525">
        <f t="shared" si="8"/>
        <v>520.7813658179598</v>
      </c>
      <c r="AC30" s="526">
        <f t="shared" si="16"/>
        <v>786.39627117556302</v>
      </c>
      <c r="AD30" s="397">
        <f t="shared" si="17"/>
        <v>0.877</v>
      </c>
      <c r="AE30" s="74"/>
      <c r="AF30" s="74"/>
      <c r="AG30" s="74"/>
      <c r="AI30" s="74"/>
      <c r="AJ30" s="74"/>
      <c r="AK30" s="74"/>
      <c r="AL30" s="290"/>
      <c r="AM30" s="290"/>
      <c r="AN30" s="290"/>
      <c r="AO30" s="291"/>
      <c r="AP30" s="290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5"/>
      <c r="BB30" s="75"/>
      <c r="BC30" s="75"/>
      <c r="BD30" s="75"/>
    </row>
    <row r="31" spans="1:56" s="136" customFormat="1" ht="18" customHeight="1">
      <c r="A31" s="468" t="str">
        <f>RESUM!F9</f>
        <v>E61</v>
      </c>
      <c r="B31" s="286">
        <f>RESUM!F11</f>
        <v>6200</v>
      </c>
      <c r="C31" s="432">
        <f>RESUM!F15</f>
        <v>666.63123576024145</v>
      </c>
      <c r="D31" s="434">
        <f t="shared" si="0"/>
        <v>413.27374897820209</v>
      </c>
      <c r="E31" s="287">
        <f t="shared" si="9"/>
        <v>636.52800000000002</v>
      </c>
      <c r="F31" s="288">
        <f>$Q31*$F$21/'driving mode datasheet'!$F$21</f>
        <v>31.2</v>
      </c>
      <c r="G31" s="158">
        <f t="shared" si="1"/>
        <v>932.62335361724308</v>
      </c>
      <c r="H31" s="156">
        <f t="shared" si="2"/>
        <v>9237.3957464314117</v>
      </c>
      <c r="I31" s="431">
        <f t="shared" si="10"/>
        <v>963.36298461863407</v>
      </c>
      <c r="J31" s="433">
        <f t="shared" si="3"/>
        <v>615.73760821338828</v>
      </c>
      <c r="K31" s="156">
        <f t="shared" si="11"/>
        <v>615.28182853021781</v>
      </c>
      <c r="L31" s="157">
        <f t="shared" si="4"/>
        <v>29.830816475613368</v>
      </c>
      <c r="M31" s="158">
        <f t="shared" si="12"/>
        <v>615.28182853021781</v>
      </c>
      <c r="N31" s="438">
        <f>RESUM!F32</f>
        <v>218.8233229067647</v>
      </c>
      <c r="O31" s="561">
        <f>'driving mode parameters'!F81</f>
        <v>0.94752388175693036</v>
      </c>
      <c r="P31" s="523">
        <f>'driving mode parameters'!F82</f>
        <v>0.84451777786754079</v>
      </c>
      <c r="Q31" s="524">
        <f>'driving mode parameters'!F75</f>
        <v>39</v>
      </c>
      <c r="R31" s="524">
        <f>'driving mode parameters'!F76</f>
        <v>792.52800000000002</v>
      </c>
      <c r="S31" s="524">
        <f t="shared" si="13"/>
        <v>-12.52800000000002</v>
      </c>
      <c r="T31" s="102"/>
      <c r="U31" s="525">
        <f t="shared" si="5"/>
        <v>9237.3957464314117</v>
      </c>
      <c r="V31" s="525">
        <f t="shared" si="6"/>
        <v>963.36298461863407</v>
      </c>
      <c r="W31" s="525">
        <f t="shared" si="14"/>
        <v>1410.753189744122</v>
      </c>
      <c r="X31" s="525">
        <f>X32</f>
        <v>13722.252236636758</v>
      </c>
      <c r="Y31" s="525">
        <f>'driving mode datasheet'!Y31*$M$21/'driving mode datasheet'!$M$21*F31/'driving mode datasheet'!F31*'driving mode datasheet'!F$21/'absorbing mode datasheet'!F$21</f>
        <v>510.40268958187573</v>
      </c>
      <c r="Z31" s="525">
        <f t="shared" si="7"/>
        <v>733.44401715673871</v>
      </c>
      <c r="AA31" s="525">
        <f t="shared" si="15"/>
        <v>591.91982762948442</v>
      </c>
      <c r="AB31" s="525">
        <f t="shared" si="8"/>
        <v>615.28182853021781</v>
      </c>
      <c r="AC31" s="526">
        <f t="shared" si="16"/>
        <v>932.62335361724308</v>
      </c>
      <c r="AD31" s="397">
        <f t="shared" si="17"/>
        <v>0.877</v>
      </c>
      <c r="AE31" s="74"/>
      <c r="AF31" s="74"/>
      <c r="AG31" s="74"/>
      <c r="AI31" s="74"/>
      <c r="AJ31" s="74"/>
      <c r="AK31" s="74"/>
      <c r="AL31" s="290"/>
      <c r="AM31" s="290"/>
      <c r="AN31" s="290"/>
      <c r="AO31" s="291"/>
      <c r="AP31" s="290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5"/>
      <c r="BB31" s="75"/>
      <c r="BC31" s="75"/>
      <c r="BD31" s="75"/>
    </row>
    <row r="32" spans="1:56" s="136" customFormat="1" ht="18" customHeight="1">
      <c r="A32" s="468" t="str">
        <f>RESUM!G9</f>
        <v>F61</v>
      </c>
      <c r="B32" s="286">
        <f>RESUM!G11</f>
        <v>6200</v>
      </c>
      <c r="C32" s="432">
        <f>RESUM!G15</f>
        <v>777.67118882433817</v>
      </c>
      <c r="D32" s="434">
        <f t="shared" si="0"/>
        <v>475.59255902571567</v>
      </c>
      <c r="E32" s="287">
        <f t="shared" si="9"/>
        <v>732.51199999999994</v>
      </c>
      <c r="F32" s="288">
        <f>$Q32*$F$21/'driving mode datasheet'!$F$21</f>
        <v>36</v>
      </c>
      <c r="G32" s="158">
        <f t="shared" si="1"/>
        <v>1079.3598316969044</v>
      </c>
      <c r="H32" s="156">
        <f t="shared" si="2"/>
        <v>9238.1697518084457</v>
      </c>
      <c r="I32" s="431">
        <f t="shared" si="10"/>
        <v>1124.3078460672898</v>
      </c>
      <c r="J32" s="433">
        <f t="shared" si="3"/>
        <v>708.64593435105473</v>
      </c>
      <c r="K32" s="156">
        <f>IF($E$32&lt;$M$32,$E$32,$M$32)</f>
        <v>709.9088812333049</v>
      </c>
      <c r="L32" s="157">
        <f t="shared" si="4"/>
        <v>34.563282933160188</v>
      </c>
      <c r="M32" s="158">
        <f t="shared" si="12"/>
        <v>709.9088812333049</v>
      </c>
      <c r="N32" s="438">
        <f>RESUM!G32</f>
        <v>253.86340501447495</v>
      </c>
      <c r="O32" s="561">
        <f>'driving mode parameters'!G81</f>
        <v>0.95233043334997036</v>
      </c>
      <c r="P32" s="523">
        <f>'driving mode parameters'!G82</f>
        <v>0.83776056573214319</v>
      </c>
      <c r="Q32" s="524">
        <f>'driving mode parameters'!G75</f>
        <v>45</v>
      </c>
      <c r="R32" s="524">
        <f>'driving mode parameters'!G76</f>
        <v>912.51199999999994</v>
      </c>
      <c r="S32" s="524">
        <f t="shared" si="13"/>
        <v>-12.511999999999944</v>
      </c>
      <c r="T32" s="102"/>
      <c r="U32" s="525">
        <f t="shared" si="5"/>
        <v>9238.1697518084457</v>
      </c>
      <c r="V32" s="525">
        <f t="shared" si="6"/>
        <v>1124.3078460672898</v>
      </c>
      <c r="W32" s="525">
        <f t="shared" si="14"/>
        <v>1646.5901243762389</v>
      </c>
      <c r="X32" s="525">
        <f>'limit 480V'!K27*0.95</f>
        <v>13722.252236636758</v>
      </c>
      <c r="Y32" s="525">
        <f>'driving mode datasheet'!Y32*$M$21/'driving mode datasheet'!$M$21*F32/'driving mode datasheet'!F32*'driving mode datasheet'!F$21/'absorbing mode datasheet'!F$21</f>
        <v>588.92618028677975</v>
      </c>
      <c r="Z32" s="525">
        <f t="shared" si="7"/>
        <v>846.28155825777549</v>
      </c>
      <c r="AA32" s="525">
        <f t="shared" si="15"/>
        <v>684.98547371266932</v>
      </c>
      <c r="AB32" s="525">
        <f t="shared" si="8"/>
        <v>709.9088812333049</v>
      </c>
      <c r="AC32" s="526">
        <f>0.95*Y32*(Z32/D32)^(1/AD32)</f>
        <v>1079.3598316969044</v>
      </c>
      <c r="AD32" s="397">
        <f t="shared" si="17"/>
        <v>0.877</v>
      </c>
      <c r="AE32" s="74">
        <f>AB32*(J32/D32)^(1/2/AD32)</f>
        <v>891.13818710231635</v>
      </c>
      <c r="AF32" s="74"/>
      <c r="AG32" s="74"/>
      <c r="AI32" s="74"/>
      <c r="AJ32" s="74"/>
      <c r="AK32" s="74"/>
      <c r="AL32" s="290"/>
      <c r="AM32" s="290"/>
      <c r="AN32" s="290"/>
      <c r="AO32" s="291"/>
      <c r="AP32" s="290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5"/>
      <c r="BB32" s="75"/>
      <c r="BC32" s="75"/>
      <c r="BD32" s="75"/>
    </row>
    <row r="33" spans="1:234" s="136" customFormat="1" ht="18" customHeight="1">
      <c r="A33" s="468" t="str">
        <f>RESUM!H9</f>
        <v>C62</v>
      </c>
      <c r="B33" s="286">
        <f>RESUM!H11</f>
        <v>6200</v>
      </c>
      <c r="C33" s="432">
        <f>RESUM!H15</f>
        <v>891.29533660212417</v>
      </c>
      <c r="D33" s="434">
        <f t="shared" si="0"/>
        <v>537.64776850564226</v>
      </c>
      <c r="E33" s="287">
        <f t="shared" si="9"/>
        <v>828.09000000000015</v>
      </c>
      <c r="F33" s="288">
        <f>$Q33*$F$21/'driving mode datasheet'!$F$21</f>
        <v>40.799999999999997</v>
      </c>
      <c r="G33" s="158">
        <f t="shared" si="1"/>
        <v>1226.7959564244654</v>
      </c>
      <c r="H33" s="156">
        <f t="shared" si="2"/>
        <v>9232.1535803253009</v>
      </c>
      <c r="I33" s="431">
        <f t="shared" si="10"/>
        <v>1284.3474624165262</v>
      </c>
      <c r="J33" s="433">
        <f t="shared" si="3"/>
        <v>800.58818886504423</v>
      </c>
      <c r="K33" s="156">
        <f t="shared" si="11"/>
        <v>804.84268339304151</v>
      </c>
      <c r="L33" s="157">
        <f t="shared" si="4"/>
        <v>39.341999195570345</v>
      </c>
      <c r="M33" s="158">
        <f t="shared" si="12"/>
        <v>804.84268339304151</v>
      </c>
      <c r="N33" s="438">
        <f>RESUM!H32</f>
        <v>303.1701328119147</v>
      </c>
      <c r="O33" s="561">
        <f>'driving mode parameters'!H81</f>
        <v>0.95556187357726197</v>
      </c>
      <c r="P33" s="523">
        <f>'driving mode parameters'!H82</f>
        <v>0.82955354773603751</v>
      </c>
      <c r="Q33" s="524">
        <f>'driving mode parameters'!H75</f>
        <v>51</v>
      </c>
      <c r="R33" s="524">
        <f>'driving mode parameters'!H76</f>
        <v>1032.0900000000001</v>
      </c>
      <c r="S33" s="524">
        <f t="shared" si="13"/>
        <v>-12.090000000000146</v>
      </c>
      <c r="T33" s="102"/>
      <c r="U33" s="525">
        <f t="shared" si="5"/>
        <v>9232.1535803253009</v>
      </c>
      <c r="V33" s="525">
        <f t="shared" si="6"/>
        <v>1284.3474624165262</v>
      </c>
      <c r="W33" s="525">
        <f t="shared" si="14"/>
        <v>1879.6593333362453</v>
      </c>
      <c r="X33" s="525">
        <f t="shared" ref="X33:X40" si="18">X32</f>
        <v>13722.252236636758</v>
      </c>
      <c r="Y33" s="525">
        <f>'driving mode datasheet'!Y33*$M$21/'driving mode datasheet'!$M$21*F33/'driving mode datasheet'!F33*'driving mode datasheet'!F$21/'absorbing mode datasheet'!F$21</f>
        <v>667.44967099168366</v>
      </c>
      <c r="Z33" s="525">
        <f t="shared" si="7"/>
        <v>959.11909935881226</v>
      </c>
      <c r="AA33" s="525">
        <f t="shared" si="15"/>
        <v>779.13020779932447</v>
      </c>
      <c r="AB33" s="525">
        <f t="shared" si="8"/>
        <v>804.84268339304151</v>
      </c>
      <c r="AC33" s="526">
        <f t="shared" si="16"/>
        <v>1226.7959564244654</v>
      </c>
      <c r="AD33" s="397">
        <f t="shared" si="17"/>
        <v>0.877</v>
      </c>
      <c r="AE33" s="74"/>
      <c r="AF33" s="74"/>
      <c r="AG33" s="74"/>
      <c r="AI33" s="74"/>
      <c r="AJ33" s="74"/>
      <c r="AK33" s="74"/>
      <c r="AL33" s="290"/>
      <c r="AM33" s="290"/>
      <c r="AN33" s="290"/>
      <c r="AO33" s="291"/>
      <c r="AP33" s="290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5"/>
      <c r="BB33" s="75"/>
      <c r="BC33" s="75"/>
      <c r="BD33" s="75"/>
    </row>
    <row r="34" spans="1:234" s="74" customFormat="1" ht="18" customHeight="1">
      <c r="A34" s="468" t="str">
        <f>RESUM!I9</f>
        <v>D62</v>
      </c>
      <c r="B34" s="286">
        <f>RESUM!I11</f>
        <v>5900</v>
      </c>
      <c r="C34" s="432">
        <f>RESUM!I15</f>
        <v>960.36102722584099</v>
      </c>
      <c r="D34" s="434">
        <f>E34*$B34*PI()/30000</f>
        <v>570.54422293942184</v>
      </c>
      <c r="E34" s="287">
        <f t="shared" si="9"/>
        <v>923.44</v>
      </c>
      <c r="F34" s="288">
        <f>$Q34*$F$21/'driving mode datasheet'!$F$21</f>
        <v>45.6</v>
      </c>
      <c r="G34" s="158">
        <f>IF(AC34&lt;$L$13,AC34,$L$13)</f>
        <v>1533.9029581042262</v>
      </c>
      <c r="H34" s="156">
        <f t="shared" si="2"/>
        <v>8777.4861842101946</v>
      </c>
      <c r="I34" s="431">
        <f t="shared" si="10"/>
        <v>1377.672786300393</v>
      </c>
      <c r="J34" s="433">
        <f t="shared" si="3"/>
        <v>848.80407361554524</v>
      </c>
      <c r="K34" s="156">
        <f t="shared" si="11"/>
        <v>923.44</v>
      </c>
      <c r="L34" s="157">
        <f t="shared" si="4"/>
        <v>45.321030152988435</v>
      </c>
      <c r="M34" s="158">
        <f t="shared" si="12"/>
        <v>975.1780672226472</v>
      </c>
      <c r="N34" s="438">
        <f>RESUM!I32</f>
        <v>343.683599423874</v>
      </c>
      <c r="O34" s="561">
        <f>'driving mode parameters'!I81</f>
        <v>0.95824439284586127</v>
      </c>
      <c r="P34" s="523">
        <f>'driving mode parameters'!I82</f>
        <v>0.81965873129095246</v>
      </c>
      <c r="Q34" s="524">
        <f>'driving mode parameters'!I75</f>
        <v>57</v>
      </c>
      <c r="R34" s="524">
        <f>'driving mode parameters'!I76</f>
        <v>1151.44</v>
      </c>
      <c r="S34" s="524">
        <f t="shared" si="13"/>
        <v>-11.440000000000055</v>
      </c>
      <c r="T34" s="102"/>
      <c r="U34" s="525">
        <f t="shared" si="5"/>
        <v>8777.4861842101946</v>
      </c>
      <c r="V34" s="525">
        <f t="shared" si="6"/>
        <v>1377.672786300393</v>
      </c>
      <c r="W34" s="525">
        <f t="shared" si="14"/>
        <v>2113.8114317602185</v>
      </c>
      <c r="X34" s="525">
        <f t="shared" si="18"/>
        <v>13722.252236636758</v>
      </c>
      <c r="Y34" s="525">
        <f>'driving mode datasheet'!Y34*$M$21/'driving mode datasheet'!$M$21*F34/'driving mode datasheet'!F34*'driving mode datasheet'!F$21/'absorbing mode datasheet'!F$21</f>
        <v>764.70343641510772</v>
      </c>
      <c r="Z34" s="525">
        <f t="shared" si="7"/>
        <v>1098.87187467081</v>
      </c>
      <c r="AA34" s="525">
        <f t="shared" si="15"/>
        <v>975.1780672226472</v>
      </c>
      <c r="AB34" s="525">
        <f>AC34*(B34*E34/AC34/H34)^(1/(1+AD34))</f>
        <v>947.26301999351085</v>
      </c>
      <c r="AC34" s="526">
        <f t="shared" si="16"/>
        <v>1533.9029581042262</v>
      </c>
      <c r="AD34" s="397">
        <f t="shared" si="17"/>
        <v>0.877</v>
      </c>
      <c r="AH34" s="136"/>
      <c r="AL34" s="290"/>
      <c r="AM34" s="290"/>
      <c r="AN34" s="290"/>
      <c r="AO34" s="291"/>
      <c r="AP34" s="290"/>
    </row>
    <row r="35" spans="1:234" s="454" customFormat="1" ht="18" customHeight="1">
      <c r="A35" s="468" t="str">
        <f>RESUM!J9</f>
        <v>E62</v>
      </c>
      <c r="B35" s="286">
        <f>RESUM!J11</f>
        <v>5600</v>
      </c>
      <c r="C35" s="432">
        <f>RESUM!J15</f>
        <v>1055.7431057766598</v>
      </c>
      <c r="D35" s="434">
        <f>E35*$B35*PI()/30000</f>
        <v>625.73086368104987</v>
      </c>
      <c r="E35" s="287">
        <f t="shared" si="9"/>
        <v>1067.0160000000001</v>
      </c>
      <c r="F35" s="288">
        <f>$Q35*$F$21/'driving mode datasheet'!$F$21</f>
        <v>52.8</v>
      </c>
      <c r="G35" s="158">
        <f t="shared" ref="G35:G40" si="19">IF(AC35&lt;$L$13,AC35,$L$13)</f>
        <v>1998.006577072475</v>
      </c>
      <c r="H35" s="156">
        <f t="shared" si="2"/>
        <v>8328.3221744649873</v>
      </c>
      <c r="I35" s="431">
        <f t="shared" si="10"/>
        <v>1511.9707274539808</v>
      </c>
      <c r="J35" s="433">
        <f t="shared" si="3"/>
        <v>930.58718343607416</v>
      </c>
      <c r="K35" s="156">
        <f t="shared" si="11"/>
        <v>1067.0160000000001</v>
      </c>
      <c r="L35" s="157">
        <f t="shared" si="4"/>
        <v>52.531650026125838</v>
      </c>
      <c r="M35" s="158">
        <f t="shared" si="12"/>
        <v>1270.7275769484556</v>
      </c>
      <c r="N35" s="438">
        <f>RESUM!J32</f>
        <v>384.51693197301643</v>
      </c>
      <c r="O35" s="561">
        <f>'driving mode parameters'!J81</f>
        <v>0.96067241991720653</v>
      </c>
      <c r="P35" s="523">
        <f>'driving mode parameters'!J82</f>
        <v>0.82013691068521133</v>
      </c>
      <c r="Q35" s="524">
        <f>'driving mode parameters'!J75</f>
        <v>66</v>
      </c>
      <c r="R35" s="524">
        <f>'driving mode parameters'!J76</f>
        <v>1331.0160000000001</v>
      </c>
      <c r="S35" s="524">
        <f t="shared" si="13"/>
        <v>-11.016000000000076</v>
      </c>
      <c r="T35" s="102"/>
      <c r="U35" s="525">
        <f t="shared" si="5"/>
        <v>8328.3221744649873</v>
      </c>
      <c r="V35" s="525">
        <f t="shared" si="6"/>
        <v>1511.9707274539808</v>
      </c>
      <c r="W35" s="525">
        <f t="shared" si="14"/>
        <v>2439.7985257519622</v>
      </c>
      <c r="X35" s="525">
        <f t="shared" si="18"/>
        <v>13722.252236636758</v>
      </c>
      <c r="Y35" s="525">
        <f>'driving mode datasheet'!Y35*$M$21/'driving mode datasheet'!$M$21*F35/'driving mode datasheet'!F35*'driving mode datasheet'!F$21/'absorbing mode datasheet'!F$21</f>
        <v>908.85398128640645</v>
      </c>
      <c r="Z35" s="525">
        <f t="shared" si="7"/>
        <v>1306.0148950031471</v>
      </c>
      <c r="AA35" s="525">
        <f t="shared" si="15"/>
        <v>1270.7275769484556</v>
      </c>
      <c r="AB35" s="525">
        <f>AC35*(B35*E35/AC35/H35)^(1/(1+AD35))</f>
        <v>1157.7783692918649</v>
      </c>
      <c r="AC35" s="526">
        <f t="shared" si="16"/>
        <v>1998.006577072475</v>
      </c>
      <c r="AD35" s="397">
        <f t="shared" si="17"/>
        <v>0.877</v>
      </c>
      <c r="AE35" s="74"/>
      <c r="AF35" s="74"/>
      <c r="AG35" s="74"/>
      <c r="AL35" s="455"/>
      <c r="AM35" s="455"/>
      <c r="AN35" s="455"/>
      <c r="AO35" s="456"/>
      <c r="AP35" s="455"/>
    </row>
    <row r="36" spans="1:234" s="454" customFormat="1" ht="18" customHeight="1">
      <c r="A36" s="468" t="str">
        <f>RESUM!K9</f>
        <v>F62</v>
      </c>
      <c r="B36" s="286">
        <f>RESUM!K11</f>
        <v>5200</v>
      </c>
      <c r="C36" s="432">
        <f>RESUM!K15</f>
        <v>1158.8952418262465</v>
      </c>
      <c r="D36" s="434">
        <f>E36*$B36*PI()/30000</f>
        <v>676.43097501013517</v>
      </c>
      <c r="E36" s="287">
        <f t="shared" si="9"/>
        <v>1242.2</v>
      </c>
      <c r="F36" s="288">
        <f>$Q36*$F$21/'driving mode datasheet'!$F$21</f>
        <v>61.6</v>
      </c>
      <c r="G36" s="158">
        <f t="shared" si="19"/>
        <v>2752.580698798216</v>
      </c>
      <c r="H36" s="156">
        <f t="shared" si="2"/>
        <v>7725.1598255862891</v>
      </c>
      <c r="I36" s="431">
        <f t="shared" si="10"/>
        <v>1651.1695410099444</v>
      </c>
      <c r="J36" s="433">
        <f t="shared" si="3"/>
        <v>1004.9110371020115</v>
      </c>
      <c r="K36" s="156">
        <f t="shared" si="11"/>
        <v>1242.2</v>
      </c>
      <c r="L36" s="157">
        <f t="shared" si="4"/>
        <v>61.352340094029039</v>
      </c>
      <c r="M36" s="158">
        <f t="shared" si="12"/>
        <v>1752.7752389005436</v>
      </c>
      <c r="N36" s="438">
        <f>RESUM!K32</f>
        <v>443.82808629612254</v>
      </c>
      <c r="O36" s="561">
        <f>'driving mode parameters'!K81</f>
        <v>0.96211641209391274</v>
      </c>
      <c r="P36" s="523">
        <f>'driving mode parameters'!K82</f>
        <v>0.80923098957651496</v>
      </c>
      <c r="Q36" s="524">
        <f>'driving mode parameters'!K75</f>
        <v>77</v>
      </c>
      <c r="R36" s="524">
        <f>'driving mode parameters'!K76</f>
        <v>1550.2</v>
      </c>
      <c r="S36" s="524">
        <f t="shared" si="13"/>
        <v>-10.200000000000045</v>
      </c>
      <c r="T36" s="102"/>
      <c r="U36" s="525">
        <f t="shared" si="5"/>
        <v>7725.1598255862891</v>
      </c>
      <c r="V36" s="525">
        <f t="shared" si="6"/>
        <v>1651.1695410099444</v>
      </c>
      <c r="W36" s="525">
        <f t="shared" si="14"/>
        <v>2859.6922543070182</v>
      </c>
      <c r="X36" s="525">
        <f t="shared" si="18"/>
        <v>13722.252236636758</v>
      </c>
      <c r="Y36" s="525">
        <f>'driving mode datasheet'!Y36*$M$21/'driving mode datasheet'!$M$21*F36/'driving mode datasheet'!F36*'driving mode datasheet'!F$21/'absorbing mode datasheet'!F$21</f>
        <v>1100.3560745363411</v>
      </c>
      <c r="Z36" s="525">
        <f t="shared" si="7"/>
        <v>1581.2016591681613</v>
      </c>
      <c r="AA36" s="525">
        <f t="shared" si="15"/>
        <v>1752.7752389005436</v>
      </c>
      <c r="AB36" s="525">
        <f>AC36*(B36*E36/AC36/H36)^(1/(1+AD36))</f>
        <v>1459.0136835388864</v>
      </c>
      <c r="AC36" s="526">
        <f t="shared" si="16"/>
        <v>2752.580698798216</v>
      </c>
      <c r="AD36" s="397">
        <f t="shared" si="17"/>
        <v>0.877</v>
      </c>
      <c r="AE36" s="74"/>
      <c r="AF36" s="74"/>
      <c r="AG36" s="74"/>
      <c r="AL36" s="455"/>
      <c r="AM36" s="455"/>
      <c r="AN36" s="455"/>
      <c r="AO36" s="456"/>
      <c r="AP36" s="455"/>
    </row>
    <row r="37" spans="1:234" s="454" customFormat="1" ht="18" customHeight="1">
      <c r="A37" s="496">
        <f>RESUM!L9</f>
        <v>0</v>
      </c>
      <c r="B37" s="497">
        <f>RESUM!L11</f>
        <v>0</v>
      </c>
      <c r="C37" s="498">
        <f>RESUM!L15</f>
        <v>0</v>
      </c>
      <c r="D37" s="499" t="e">
        <f>E37*$B37*PI()/30000</f>
        <v>#DIV/0!</v>
      </c>
      <c r="E37" s="500" t="e">
        <f t="shared" si="9"/>
        <v>#DIV/0!</v>
      </c>
      <c r="F37" s="501" t="e">
        <f>$Q37*$F$21/'driving mode datasheet'!$F$21</f>
        <v>#DIV/0!</v>
      </c>
      <c r="G37" s="485" t="e">
        <f t="shared" si="19"/>
        <v>#DIV/0!</v>
      </c>
      <c r="H37" s="483" t="e">
        <f t="shared" si="2"/>
        <v>#DIV/0!</v>
      </c>
      <c r="I37" s="481" t="e">
        <f t="shared" si="10"/>
        <v>#DIV/0!</v>
      </c>
      <c r="J37" s="482" t="e">
        <f t="shared" si="3"/>
        <v>#DIV/0!</v>
      </c>
      <c r="K37" s="483" t="e">
        <f>IF(E37&lt;M37,E37,M37)</f>
        <v>#DIV/0!</v>
      </c>
      <c r="L37" s="484" t="e">
        <f t="shared" si="4"/>
        <v>#DIV/0!</v>
      </c>
      <c r="M37" s="485" t="e">
        <f t="shared" si="12"/>
        <v>#DIV/0!</v>
      </c>
      <c r="N37" s="502">
        <f>RESUM!L32</f>
        <v>0</v>
      </c>
      <c r="O37" s="561" t="e">
        <f>'driving mode parameters'!L81</f>
        <v>#DIV/0!</v>
      </c>
      <c r="P37" s="523" t="e">
        <f>'driving mode parameters'!L82</f>
        <v>#DIV/0!</v>
      </c>
      <c r="Q37" s="524" t="e">
        <f>'driving mode parameters'!L75</f>
        <v>#DIV/0!</v>
      </c>
      <c r="R37" s="524" t="e">
        <f>'driving mode parameters'!L76</f>
        <v>#DIV/0!</v>
      </c>
      <c r="S37" s="524" t="e">
        <f t="shared" si="13"/>
        <v>#DIV/0!</v>
      </c>
      <c r="T37" s="102"/>
      <c r="U37" s="525" t="e">
        <f t="shared" si="5"/>
        <v>#DIV/0!</v>
      </c>
      <c r="V37" s="525">
        <f t="shared" si="6"/>
        <v>0</v>
      </c>
      <c r="W37" s="525" t="e">
        <f t="shared" si="14"/>
        <v>#DIV/0!</v>
      </c>
      <c r="X37" s="525">
        <f t="shared" si="18"/>
        <v>13722.252236636758</v>
      </c>
      <c r="Y37" s="525" t="e">
        <f>'driving mode datasheet'!Y37*$M$21/'driving mode datasheet'!$M$21*F37/'driving mode datasheet'!F37*'driving mode datasheet'!F$21/'absorbing mode datasheet'!F$21</f>
        <v>#DIV/0!</v>
      </c>
      <c r="Z37" s="525" t="e">
        <f t="shared" si="7"/>
        <v>#DIV/0!</v>
      </c>
      <c r="AA37" s="525" t="e">
        <f t="shared" si="15"/>
        <v>#DIV/0!</v>
      </c>
      <c r="AB37" s="525" t="e">
        <f>AC37*(B37*E37/AC37/H37)^(1/(1+AD37))</f>
        <v>#DIV/0!</v>
      </c>
      <c r="AC37" s="526" t="e">
        <f t="shared" si="16"/>
        <v>#DIV/0!</v>
      </c>
      <c r="AD37" s="397">
        <f t="shared" si="17"/>
        <v>0.877</v>
      </c>
      <c r="AE37" s="74"/>
      <c r="AF37" s="74"/>
      <c r="AG37" s="74"/>
      <c r="AL37" s="455"/>
      <c r="AM37" s="455"/>
      <c r="AN37" s="455"/>
      <c r="AO37" s="456"/>
      <c r="AP37" s="455"/>
    </row>
    <row r="38" spans="1:234" s="454" customFormat="1" ht="18" customHeight="1">
      <c r="A38" s="496">
        <f>RESUM!M9</f>
        <v>0</v>
      </c>
      <c r="B38" s="497">
        <f>RESUM!M11</f>
        <v>0</v>
      </c>
      <c r="C38" s="498">
        <f>RESUM!M15</f>
        <v>0</v>
      </c>
      <c r="D38" s="499" t="e">
        <f>E38*$B38*PI()/30000</f>
        <v>#DIV/0!</v>
      </c>
      <c r="E38" s="500" t="e">
        <f t="shared" si="9"/>
        <v>#DIV/0!</v>
      </c>
      <c r="F38" s="501" t="e">
        <f>$Q38*$F$21/'driving mode datasheet'!$F$21</f>
        <v>#DIV/0!</v>
      </c>
      <c r="G38" s="485" t="e">
        <f t="shared" si="19"/>
        <v>#DIV/0!</v>
      </c>
      <c r="H38" s="483" t="e">
        <f t="shared" si="2"/>
        <v>#DIV/0!</v>
      </c>
      <c r="I38" s="481" t="e">
        <f t="shared" si="10"/>
        <v>#DIV/0!</v>
      </c>
      <c r="J38" s="482" t="e">
        <f t="shared" si="3"/>
        <v>#DIV/0!</v>
      </c>
      <c r="K38" s="483" t="e">
        <f>IF(E38&lt;M38,E38,M38)</f>
        <v>#DIV/0!</v>
      </c>
      <c r="L38" s="484" t="e">
        <f t="shared" si="4"/>
        <v>#DIV/0!</v>
      </c>
      <c r="M38" s="485" t="e">
        <f t="shared" si="12"/>
        <v>#DIV/0!</v>
      </c>
      <c r="N38" s="502">
        <f>RESUM!M32</f>
        <v>0</v>
      </c>
      <c r="O38" s="561" t="e">
        <f>'driving mode parameters'!M81</f>
        <v>#DIV/0!</v>
      </c>
      <c r="P38" s="523" t="e">
        <f>'driving mode parameters'!M82</f>
        <v>#DIV/0!</v>
      </c>
      <c r="Q38" s="524" t="e">
        <f>'driving mode parameters'!M75</f>
        <v>#DIV/0!</v>
      </c>
      <c r="R38" s="524" t="e">
        <f>'driving mode parameters'!M76</f>
        <v>#DIV/0!</v>
      </c>
      <c r="S38" s="524" t="e">
        <f t="shared" si="13"/>
        <v>#DIV/0!</v>
      </c>
      <c r="T38" s="102"/>
      <c r="U38" s="525" t="e">
        <f t="shared" si="5"/>
        <v>#DIV/0!</v>
      </c>
      <c r="V38" s="525">
        <f t="shared" si="6"/>
        <v>0</v>
      </c>
      <c r="W38" s="525" t="e">
        <f t="shared" si="14"/>
        <v>#DIV/0!</v>
      </c>
      <c r="X38" s="525">
        <f t="shared" si="18"/>
        <v>13722.252236636758</v>
      </c>
      <c r="Y38" s="525" t="e">
        <f>'driving mode datasheet'!Y38*$M$21/'driving mode datasheet'!$M$21*F38/'driving mode datasheet'!F38*'driving mode datasheet'!F$21/'absorbing mode datasheet'!F$21</f>
        <v>#DIV/0!</v>
      </c>
      <c r="Z38" s="525" t="e">
        <f t="shared" si="7"/>
        <v>#DIV/0!</v>
      </c>
      <c r="AA38" s="525" t="e">
        <f t="shared" si="15"/>
        <v>#DIV/0!</v>
      </c>
      <c r="AB38" s="525" t="e">
        <f>AC38*(B38*E38/AC38/H38)^(1/(1+AD38))</f>
        <v>#DIV/0!</v>
      </c>
      <c r="AC38" s="526" t="e">
        <f t="shared" si="16"/>
        <v>#DIV/0!</v>
      </c>
      <c r="AD38" s="397">
        <f t="shared" si="17"/>
        <v>0.877</v>
      </c>
      <c r="AE38" s="74"/>
      <c r="AF38" s="74"/>
      <c r="AG38" s="74"/>
      <c r="AL38" s="455"/>
      <c r="AM38" s="455"/>
      <c r="AN38" s="455"/>
      <c r="AO38" s="456"/>
      <c r="AP38" s="455"/>
    </row>
    <row r="39" spans="1:234" s="454" customFormat="1" ht="18" customHeight="1">
      <c r="A39" s="496">
        <f>RESUM!N9</f>
        <v>0</v>
      </c>
      <c r="B39" s="497">
        <f>RESUM!N11</f>
        <v>0</v>
      </c>
      <c r="C39" s="498">
        <f>RESUM!N15</f>
        <v>0</v>
      </c>
      <c r="D39" s="499" t="e">
        <f t="shared" ref="D39:D40" si="20">E39*$B39*PI()/30000</f>
        <v>#DIV/0!</v>
      </c>
      <c r="E39" s="500" t="e">
        <f t="shared" si="9"/>
        <v>#DIV/0!</v>
      </c>
      <c r="F39" s="501" t="e">
        <f>$Q39*$F$21/'driving mode datasheet'!$F$21</f>
        <v>#DIV/0!</v>
      </c>
      <c r="G39" s="485" t="e">
        <f t="shared" si="19"/>
        <v>#DIV/0!</v>
      </c>
      <c r="H39" s="483" t="e">
        <f t="shared" si="2"/>
        <v>#DIV/0!</v>
      </c>
      <c r="I39" s="481" t="e">
        <f t="shared" si="10"/>
        <v>#DIV/0!</v>
      </c>
      <c r="J39" s="482" t="e">
        <f t="shared" si="3"/>
        <v>#DIV/0!</v>
      </c>
      <c r="K39" s="483" t="e">
        <f t="shared" ref="K39:K40" si="21">IF(E39&lt;M39,E39,M39)</f>
        <v>#DIV/0!</v>
      </c>
      <c r="L39" s="484" t="e">
        <f t="shared" si="4"/>
        <v>#DIV/0!</v>
      </c>
      <c r="M39" s="485" t="e">
        <f t="shared" si="12"/>
        <v>#DIV/0!</v>
      </c>
      <c r="N39" s="502">
        <f>RESUM!N32</f>
        <v>0</v>
      </c>
      <c r="O39" s="561" t="e">
        <f>'driving mode parameters'!N81</f>
        <v>#DIV/0!</v>
      </c>
      <c r="P39" s="523" t="e">
        <f>'driving mode parameters'!N82</f>
        <v>#DIV/0!</v>
      </c>
      <c r="Q39" s="524" t="e">
        <f>'driving mode parameters'!N75</f>
        <v>#DIV/0!</v>
      </c>
      <c r="R39" s="524" t="e">
        <f>'driving mode parameters'!N76</f>
        <v>#DIV/0!</v>
      </c>
      <c r="S39" s="524" t="e">
        <f t="shared" si="13"/>
        <v>#DIV/0!</v>
      </c>
      <c r="T39" s="102"/>
      <c r="U39" s="525" t="e">
        <f t="shared" si="5"/>
        <v>#DIV/0!</v>
      </c>
      <c r="V39" s="525">
        <f t="shared" si="6"/>
        <v>0</v>
      </c>
      <c r="W39" s="525" t="e">
        <f t="shared" si="14"/>
        <v>#DIV/0!</v>
      </c>
      <c r="X39" s="525">
        <f t="shared" si="18"/>
        <v>13722.252236636758</v>
      </c>
      <c r="Y39" s="525" t="e">
        <f>'driving mode datasheet'!Y39*$M$21/'driving mode datasheet'!$M$21*F39/'driving mode datasheet'!F39*'driving mode datasheet'!F$21/'absorbing mode datasheet'!F$21</f>
        <v>#DIV/0!</v>
      </c>
      <c r="Z39" s="525" t="e">
        <f t="shared" si="7"/>
        <v>#DIV/0!</v>
      </c>
      <c r="AA39" s="525" t="e">
        <f t="shared" si="15"/>
        <v>#DIV/0!</v>
      </c>
      <c r="AB39" s="525" t="e">
        <f t="shared" ref="AB39:AB40" si="22">AC39*(B39*E39/AC39/H39)^(1/(1+AD39))</f>
        <v>#DIV/0!</v>
      </c>
      <c r="AC39" s="526" t="e">
        <f t="shared" si="16"/>
        <v>#DIV/0!</v>
      </c>
      <c r="AD39" s="397">
        <f t="shared" si="17"/>
        <v>0.877</v>
      </c>
      <c r="AE39" s="74"/>
      <c r="AF39" s="74"/>
      <c r="AG39" s="74"/>
      <c r="AL39" s="455"/>
      <c r="AM39" s="455"/>
      <c r="AN39" s="455"/>
      <c r="AO39" s="456"/>
      <c r="AP39" s="455"/>
    </row>
    <row r="40" spans="1:234" s="457" customFormat="1" ht="18" customHeight="1" thickBot="1">
      <c r="A40" s="503">
        <f>RESUM!O9</f>
        <v>0</v>
      </c>
      <c r="B40" s="504">
        <f>RESUM!O11</f>
        <v>0</v>
      </c>
      <c r="C40" s="505">
        <f>RESUM!O15</f>
        <v>0</v>
      </c>
      <c r="D40" s="506" t="e">
        <f t="shared" si="20"/>
        <v>#DIV/0!</v>
      </c>
      <c r="E40" s="507" t="e">
        <f t="shared" si="9"/>
        <v>#DIV/0!</v>
      </c>
      <c r="F40" s="508" t="e">
        <f>$Q40*$F$21/'driving mode datasheet'!$F$21</f>
        <v>#DIV/0!</v>
      </c>
      <c r="G40" s="494" t="e">
        <f t="shared" si="19"/>
        <v>#DIV/0!</v>
      </c>
      <c r="H40" s="492" t="e">
        <f t="shared" si="2"/>
        <v>#DIV/0!</v>
      </c>
      <c r="I40" s="490" t="e">
        <f t="shared" si="10"/>
        <v>#DIV/0!</v>
      </c>
      <c r="J40" s="491" t="e">
        <f t="shared" si="3"/>
        <v>#DIV/0!</v>
      </c>
      <c r="K40" s="492" t="e">
        <f t="shared" si="21"/>
        <v>#DIV/0!</v>
      </c>
      <c r="L40" s="493" t="e">
        <f t="shared" si="4"/>
        <v>#DIV/0!</v>
      </c>
      <c r="M40" s="494" t="e">
        <f t="shared" si="12"/>
        <v>#DIV/0!</v>
      </c>
      <c r="N40" s="509">
        <f>RESUM!O32</f>
        <v>0</v>
      </c>
      <c r="O40" s="561" t="e">
        <f>'driving mode parameters'!O81</f>
        <v>#DIV/0!</v>
      </c>
      <c r="P40" s="523" t="e">
        <f>'driving mode parameters'!O82</f>
        <v>#DIV/0!</v>
      </c>
      <c r="Q40" s="524" t="e">
        <f>'driving mode parameters'!O75</f>
        <v>#DIV/0!</v>
      </c>
      <c r="R40" s="524" t="e">
        <f>'driving mode parameters'!O76</f>
        <v>#DIV/0!</v>
      </c>
      <c r="S40" s="524" t="e">
        <f t="shared" si="13"/>
        <v>#DIV/0!</v>
      </c>
      <c r="T40" s="102"/>
      <c r="U40" s="525" t="e">
        <f t="shared" si="5"/>
        <v>#DIV/0!</v>
      </c>
      <c r="V40" s="525">
        <f t="shared" si="6"/>
        <v>0</v>
      </c>
      <c r="W40" s="525" t="e">
        <f t="shared" si="14"/>
        <v>#DIV/0!</v>
      </c>
      <c r="X40" s="525">
        <f t="shared" si="18"/>
        <v>13722.252236636758</v>
      </c>
      <c r="Y40" s="525" t="e">
        <f>'driving mode datasheet'!Y40*$M$21/'driving mode datasheet'!$M$21*F40/'driving mode datasheet'!F40*'driving mode datasheet'!F$21/'absorbing mode datasheet'!F$21</f>
        <v>#DIV/0!</v>
      </c>
      <c r="Z40" s="525" t="e">
        <f t="shared" si="7"/>
        <v>#DIV/0!</v>
      </c>
      <c r="AA40" s="525" t="e">
        <f t="shared" si="15"/>
        <v>#DIV/0!</v>
      </c>
      <c r="AB40" s="525" t="e">
        <f t="shared" si="22"/>
        <v>#DIV/0!</v>
      </c>
      <c r="AC40" s="526" t="e">
        <f t="shared" si="16"/>
        <v>#DIV/0!</v>
      </c>
      <c r="AD40" s="397">
        <f t="shared" si="17"/>
        <v>0.877</v>
      </c>
      <c r="AE40" s="74"/>
      <c r="AF40" s="74"/>
      <c r="AG40" s="74"/>
      <c r="AH40" s="454"/>
      <c r="AI40" s="454"/>
      <c r="AJ40" s="454"/>
      <c r="AK40" s="454"/>
      <c r="AL40" s="455"/>
      <c r="AM40" s="455"/>
      <c r="AN40" s="455"/>
      <c r="AO40" s="456"/>
      <c r="AP40" s="455"/>
      <c r="AQ40" s="454"/>
      <c r="AR40" s="454"/>
      <c r="AS40" s="454"/>
      <c r="AT40" s="454"/>
      <c r="AU40" s="454"/>
      <c r="AV40" s="454"/>
      <c r="AW40" s="454"/>
      <c r="AX40" s="454"/>
      <c r="AY40" s="454"/>
      <c r="AZ40" s="454"/>
      <c r="BA40" s="454"/>
      <c r="BB40" s="454"/>
      <c r="BC40" s="454"/>
      <c r="BD40" s="454"/>
      <c r="BE40" s="454"/>
      <c r="BF40" s="454"/>
      <c r="BG40" s="454"/>
      <c r="BH40" s="454"/>
      <c r="BI40" s="454"/>
      <c r="BJ40" s="454"/>
      <c r="BK40" s="454"/>
      <c r="BL40" s="454"/>
      <c r="BM40" s="454"/>
      <c r="BN40" s="454"/>
      <c r="BO40" s="454"/>
      <c r="BP40" s="454"/>
      <c r="BQ40" s="454"/>
      <c r="BR40" s="454"/>
      <c r="BS40" s="454"/>
      <c r="BT40" s="454"/>
      <c r="BU40" s="454"/>
      <c r="BV40" s="454"/>
      <c r="BW40" s="454"/>
      <c r="BX40" s="454"/>
      <c r="BY40" s="454"/>
      <c r="BZ40" s="454"/>
      <c r="CA40" s="454"/>
      <c r="CB40" s="454"/>
      <c r="CC40" s="454"/>
      <c r="CD40" s="454"/>
      <c r="CE40" s="454"/>
      <c r="CF40" s="454"/>
      <c r="CG40" s="454"/>
      <c r="CH40" s="454"/>
      <c r="CI40" s="454"/>
      <c r="CJ40" s="454"/>
      <c r="CK40" s="454"/>
      <c r="CL40" s="454"/>
      <c r="CM40" s="454"/>
      <c r="CN40" s="454"/>
      <c r="CO40" s="454"/>
      <c r="CP40" s="454"/>
      <c r="CQ40" s="454"/>
      <c r="CR40" s="454"/>
      <c r="CS40" s="454"/>
      <c r="CT40" s="454"/>
      <c r="CU40" s="454"/>
      <c r="CV40" s="454"/>
      <c r="CW40" s="454"/>
      <c r="CX40" s="454"/>
      <c r="CY40" s="454"/>
      <c r="CZ40" s="454"/>
      <c r="DA40" s="454"/>
      <c r="DB40" s="454"/>
      <c r="DC40" s="454"/>
      <c r="DD40" s="454"/>
      <c r="DE40" s="454"/>
      <c r="DF40" s="454"/>
      <c r="DG40" s="454"/>
      <c r="DH40" s="454"/>
      <c r="DI40" s="454"/>
      <c r="DJ40" s="454"/>
      <c r="DK40" s="454"/>
      <c r="DL40" s="454"/>
      <c r="DM40" s="454"/>
      <c r="DN40" s="454"/>
      <c r="DO40" s="454"/>
      <c r="DP40" s="454"/>
      <c r="DQ40" s="454"/>
      <c r="DR40" s="454"/>
      <c r="DS40" s="454"/>
      <c r="DT40" s="454"/>
      <c r="DU40" s="454"/>
      <c r="DV40" s="454"/>
      <c r="DW40" s="454"/>
      <c r="DX40" s="454"/>
      <c r="DY40" s="454"/>
      <c r="DZ40" s="454"/>
      <c r="EA40" s="454"/>
      <c r="EB40" s="454"/>
      <c r="EC40" s="454"/>
      <c r="ED40" s="454"/>
      <c r="EE40" s="454"/>
      <c r="EF40" s="454"/>
      <c r="EG40" s="454"/>
      <c r="EH40" s="454"/>
      <c r="EI40" s="454"/>
      <c r="EJ40" s="454"/>
      <c r="EK40" s="454"/>
      <c r="EL40" s="454"/>
      <c r="EM40" s="454"/>
      <c r="EN40" s="454"/>
      <c r="EO40" s="454"/>
      <c r="EP40" s="454"/>
      <c r="EQ40" s="454"/>
      <c r="ER40" s="454"/>
      <c r="ES40" s="454"/>
      <c r="ET40" s="454"/>
      <c r="EU40" s="454"/>
      <c r="EV40" s="454"/>
      <c r="EW40" s="454"/>
      <c r="EX40" s="454"/>
      <c r="EY40" s="454"/>
      <c r="EZ40" s="454"/>
      <c r="FA40" s="454"/>
      <c r="FB40" s="454"/>
      <c r="FC40" s="454"/>
      <c r="FD40" s="454"/>
      <c r="FE40" s="454"/>
      <c r="FF40" s="454"/>
      <c r="FG40" s="454"/>
      <c r="FH40" s="454"/>
      <c r="FI40" s="454"/>
      <c r="FJ40" s="454"/>
      <c r="FK40" s="454"/>
      <c r="FL40" s="454"/>
      <c r="FM40" s="454"/>
      <c r="FN40" s="454"/>
      <c r="FO40" s="454"/>
      <c r="FP40" s="454"/>
      <c r="FQ40" s="454"/>
      <c r="FR40" s="454"/>
      <c r="FS40" s="454"/>
      <c r="FT40" s="454"/>
      <c r="FU40" s="454"/>
      <c r="FV40" s="454"/>
      <c r="FW40" s="454"/>
      <c r="FX40" s="454"/>
      <c r="FY40" s="454"/>
      <c r="FZ40" s="454"/>
      <c r="GA40" s="454"/>
      <c r="GB40" s="454"/>
      <c r="GC40" s="454"/>
      <c r="GD40" s="454"/>
      <c r="GE40" s="454"/>
      <c r="GF40" s="454"/>
      <c r="GG40" s="454"/>
      <c r="GH40" s="454"/>
      <c r="GI40" s="454"/>
      <c r="GJ40" s="454"/>
      <c r="GK40" s="454"/>
      <c r="GL40" s="454"/>
      <c r="GM40" s="454"/>
      <c r="GN40" s="454"/>
      <c r="GO40" s="454"/>
      <c r="GP40" s="454"/>
      <c r="GQ40" s="454"/>
      <c r="GR40" s="454"/>
      <c r="GS40" s="454"/>
      <c r="GT40" s="454"/>
      <c r="GU40" s="454"/>
      <c r="GV40" s="454"/>
      <c r="GW40" s="454"/>
      <c r="GX40" s="454"/>
      <c r="GY40" s="454"/>
      <c r="GZ40" s="454"/>
      <c r="HA40" s="454"/>
      <c r="HB40" s="454"/>
      <c r="HC40" s="454"/>
      <c r="HD40" s="454"/>
      <c r="HE40" s="454"/>
      <c r="HF40" s="454"/>
      <c r="HG40" s="454"/>
      <c r="HH40" s="454"/>
      <c r="HI40" s="454"/>
      <c r="HJ40" s="454"/>
      <c r="HK40" s="454"/>
      <c r="HL40" s="454"/>
      <c r="HM40" s="454"/>
      <c r="HN40" s="454"/>
      <c r="HO40" s="454"/>
      <c r="HP40" s="454"/>
      <c r="HQ40" s="454"/>
      <c r="HR40" s="454"/>
      <c r="HS40" s="454"/>
      <c r="HT40" s="454"/>
      <c r="HU40" s="454"/>
      <c r="HV40" s="454"/>
      <c r="HW40" s="454"/>
      <c r="HX40" s="454"/>
      <c r="HY40" s="454"/>
      <c r="HZ40" s="454"/>
    </row>
    <row r="41" spans="1:234" s="92" customFormat="1" ht="19.5" customHeight="1" thickBot="1">
      <c r="A41" s="449" t="s">
        <v>99</v>
      </c>
      <c r="B41" s="450"/>
      <c r="C41" s="450"/>
      <c r="D41" s="450"/>
      <c r="E41" s="450"/>
      <c r="F41" s="450"/>
      <c r="G41" s="451"/>
      <c r="H41" s="449" t="s">
        <v>100</v>
      </c>
      <c r="I41" s="450"/>
      <c r="J41" s="450"/>
      <c r="K41" s="450"/>
      <c r="L41" s="450"/>
      <c r="M41" s="450"/>
      <c r="N41" s="451"/>
      <c r="O41" s="102"/>
      <c r="P41" s="74"/>
      <c r="Q41" s="74"/>
      <c r="R41" s="74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400"/>
      <c r="AE41" s="400"/>
      <c r="AF41" s="400"/>
      <c r="AG41" s="400"/>
      <c r="AI41" s="400"/>
      <c r="AJ41" s="400"/>
      <c r="AK41" s="400"/>
      <c r="AL41" s="400"/>
      <c r="AM41" s="400"/>
      <c r="AN41" s="400"/>
      <c r="AO41" s="400"/>
      <c r="AP41" s="400"/>
      <c r="AQ41" s="400"/>
      <c r="AR41" s="400"/>
      <c r="AS41" s="400"/>
      <c r="AT41" s="400"/>
      <c r="AU41" s="400"/>
      <c r="AV41" s="400"/>
      <c r="AW41" s="400"/>
      <c r="AX41" s="400"/>
      <c r="AY41" s="400"/>
      <c r="AZ41" s="400"/>
      <c r="BA41" s="163"/>
      <c r="BB41" s="163"/>
      <c r="BC41" s="163"/>
      <c r="BD41" s="163"/>
      <c r="BE41" s="164"/>
      <c r="BF41" s="163"/>
      <c r="BG41" s="163"/>
      <c r="BH41" s="163"/>
    </row>
    <row r="42" spans="1:234" ht="15" customHeight="1">
      <c r="C42" s="77"/>
      <c r="E42" s="90"/>
      <c r="F42" s="77"/>
      <c r="G42" s="90"/>
      <c r="I42" s="77"/>
      <c r="J42" s="90"/>
      <c r="K42" s="165"/>
      <c r="L42" s="77"/>
      <c r="M42" s="90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F42" s="200"/>
      <c r="AG42" s="200"/>
    </row>
    <row r="43" spans="1:234" ht="15" customHeight="1">
      <c r="C43" s="77"/>
      <c r="E43" s="90"/>
      <c r="F43" s="77"/>
      <c r="G43" s="90"/>
      <c r="I43" s="77"/>
      <c r="J43" s="90"/>
      <c r="K43" s="165"/>
      <c r="L43" s="77"/>
      <c r="M43" s="90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F43" s="200"/>
      <c r="AG43" s="200"/>
    </row>
    <row r="44" spans="1:234" ht="15" customHeight="1">
      <c r="C44" s="77"/>
      <c r="E44" s="90"/>
      <c r="F44" s="77"/>
      <c r="G44" s="90"/>
      <c r="I44" s="77"/>
      <c r="J44" s="90"/>
      <c r="K44" s="165"/>
      <c r="L44" s="77"/>
      <c r="M44" s="90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F44" s="200"/>
      <c r="AG44" s="200"/>
    </row>
    <row r="45" spans="1:234" ht="15" customHeight="1">
      <c r="C45" s="77"/>
      <c r="E45" s="90"/>
      <c r="F45" s="77"/>
      <c r="G45" s="90"/>
      <c r="I45" s="77"/>
      <c r="J45" s="90"/>
      <c r="K45" s="165"/>
      <c r="L45" s="77"/>
      <c r="M45" s="90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F45" s="200"/>
      <c r="AG45" s="200"/>
    </row>
    <row r="46" spans="1:234" ht="15" customHeight="1">
      <c r="C46" s="77"/>
      <c r="E46" s="90"/>
      <c r="F46" s="77"/>
      <c r="G46" s="90"/>
      <c r="I46" s="77"/>
      <c r="J46" s="90"/>
      <c r="K46" s="165"/>
      <c r="L46" s="77"/>
      <c r="M46" s="90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F46" s="200"/>
      <c r="AG46" s="200"/>
    </row>
    <row r="47" spans="1:234" ht="15" customHeight="1">
      <c r="C47" s="77"/>
      <c r="E47" s="90"/>
      <c r="F47" s="77"/>
      <c r="G47" s="90"/>
      <c r="I47" s="77"/>
      <c r="J47" s="90"/>
      <c r="K47" s="165"/>
      <c r="L47" s="77"/>
      <c r="M47" s="90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F47" s="200"/>
      <c r="AG47" s="200"/>
    </row>
    <row r="48" spans="1:234" ht="15" customHeight="1">
      <c r="C48" s="77"/>
      <c r="E48" s="90"/>
      <c r="F48" s="77"/>
      <c r="G48" s="90"/>
      <c r="I48" s="77"/>
      <c r="J48" s="90"/>
      <c r="K48" s="165"/>
      <c r="L48" s="77"/>
      <c r="M48" s="90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F48" s="200"/>
      <c r="AG48" s="200"/>
    </row>
    <row r="49" spans="3:33" ht="15" customHeight="1">
      <c r="C49" s="77"/>
      <c r="E49" s="90"/>
      <c r="F49" s="77"/>
      <c r="G49" s="90"/>
      <c r="I49" s="77"/>
      <c r="J49" s="90"/>
      <c r="K49" s="165"/>
      <c r="L49" s="77"/>
      <c r="M49" s="90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F49" s="200"/>
      <c r="AG49" s="200"/>
    </row>
    <row r="50" spans="3:33" ht="15" customHeight="1">
      <c r="C50" s="77"/>
      <c r="E50" s="90"/>
      <c r="F50" s="77"/>
      <c r="G50" s="90"/>
      <c r="I50" s="77"/>
      <c r="J50" s="90"/>
      <c r="K50" s="165"/>
      <c r="L50" s="77"/>
      <c r="M50" s="90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F50" s="200"/>
      <c r="AG50" s="200"/>
    </row>
    <row r="51" spans="3:33" ht="15" customHeight="1">
      <c r="C51" s="77"/>
      <c r="E51" s="90"/>
      <c r="F51" s="77"/>
      <c r="G51" s="90"/>
      <c r="I51" s="77"/>
      <c r="J51" s="90"/>
      <c r="K51" s="165"/>
      <c r="L51" s="77"/>
      <c r="M51" s="90"/>
      <c r="O51" s="74"/>
      <c r="P51" s="102"/>
      <c r="Q51" s="102"/>
      <c r="R51" s="102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F51" s="200"/>
      <c r="AG51" s="200"/>
    </row>
    <row r="52" spans="3:33" ht="15" customHeight="1">
      <c r="C52" s="77"/>
      <c r="E52" s="90"/>
      <c r="F52" s="77"/>
      <c r="G52" s="90"/>
      <c r="I52" s="77"/>
      <c r="J52" s="90"/>
      <c r="K52" s="165"/>
      <c r="L52" s="77"/>
      <c r="M52" s="90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F52" s="200"/>
      <c r="AG52" s="200"/>
    </row>
    <row r="53" spans="3:33" ht="15" customHeight="1">
      <c r="C53" s="77"/>
      <c r="E53" s="90"/>
      <c r="F53" s="77"/>
      <c r="G53" s="90"/>
      <c r="I53" s="77"/>
      <c r="J53" s="90"/>
      <c r="K53" s="165"/>
      <c r="L53" s="77"/>
      <c r="M53" s="90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F53" s="200"/>
      <c r="AG53" s="200"/>
    </row>
    <row r="54" spans="3:33" ht="15" customHeight="1">
      <c r="C54" s="77"/>
      <c r="E54" s="90"/>
      <c r="F54" s="77"/>
      <c r="G54" s="90"/>
      <c r="I54" s="77"/>
      <c r="J54" s="90"/>
      <c r="K54" s="165"/>
      <c r="L54" s="77"/>
      <c r="M54" s="90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F54" s="200"/>
      <c r="AG54" s="200"/>
    </row>
    <row r="55" spans="3:33" ht="15" customHeight="1">
      <c r="C55" s="77"/>
      <c r="E55" s="90"/>
      <c r="F55" s="77"/>
      <c r="G55" s="90"/>
      <c r="I55" s="77"/>
      <c r="J55" s="90"/>
      <c r="K55" s="165"/>
      <c r="L55" s="77"/>
      <c r="M55" s="90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F55" s="200"/>
      <c r="AG55" s="200"/>
    </row>
    <row r="56" spans="3:33" ht="15" customHeight="1">
      <c r="C56" s="77"/>
      <c r="E56" s="90"/>
      <c r="F56" s="77"/>
      <c r="G56" s="90"/>
      <c r="I56" s="77"/>
      <c r="J56" s="90"/>
      <c r="K56" s="165"/>
      <c r="L56" s="77"/>
      <c r="M56" s="90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F56" s="200"/>
      <c r="AG56" s="200"/>
    </row>
    <row r="57" spans="3:33" ht="15" customHeight="1">
      <c r="C57" s="77"/>
      <c r="E57" s="90"/>
      <c r="F57" s="77"/>
      <c r="G57" s="90"/>
      <c r="I57" s="77"/>
      <c r="J57" s="90"/>
      <c r="K57" s="165"/>
      <c r="L57" s="77"/>
      <c r="M57" s="90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F57" s="200"/>
      <c r="AG57" s="200"/>
    </row>
    <row r="58" spans="3:33" ht="15" customHeight="1">
      <c r="C58" s="77"/>
      <c r="E58" s="90"/>
      <c r="F58" s="77"/>
      <c r="G58" s="90"/>
      <c r="I58" s="77"/>
      <c r="J58" s="90"/>
      <c r="K58" s="165"/>
      <c r="L58" s="77"/>
      <c r="M58" s="90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F58" s="200"/>
      <c r="AG58" s="200"/>
    </row>
    <row r="59" spans="3:33" ht="15" customHeight="1">
      <c r="C59" s="77"/>
      <c r="E59" s="90"/>
      <c r="F59" s="77"/>
      <c r="G59" s="90"/>
      <c r="I59" s="77"/>
      <c r="J59" s="90"/>
      <c r="K59" s="165"/>
      <c r="L59" s="77"/>
      <c r="M59" s="90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F59" s="200"/>
      <c r="AG59" s="200"/>
    </row>
    <row r="60" spans="3:33" ht="15" customHeight="1">
      <c r="C60" s="77"/>
      <c r="E60" s="90"/>
      <c r="F60" s="77"/>
      <c r="G60" s="90"/>
      <c r="I60" s="77"/>
      <c r="J60" s="90"/>
      <c r="K60" s="165"/>
      <c r="L60" s="77"/>
      <c r="M60" s="90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F60" s="200"/>
      <c r="AG60" s="200"/>
    </row>
    <row r="61" spans="3:33" ht="15" customHeight="1">
      <c r="C61" s="77"/>
      <c r="E61" s="90"/>
      <c r="F61" s="77"/>
      <c r="G61" s="90"/>
      <c r="I61" s="77"/>
      <c r="J61" s="90"/>
      <c r="K61" s="165"/>
      <c r="L61" s="77"/>
      <c r="M61" s="90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F61" s="200"/>
      <c r="AG61" s="200"/>
    </row>
    <row r="62" spans="3:33" ht="15" customHeight="1">
      <c r="C62" s="77"/>
      <c r="E62" s="90"/>
      <c r="F62" s="77"/>
      <c r="G62" s="90"/>
      <c r="I62" s="77"/>
      <c r="J62" s="90"/>
      <c r="K62" s="165"/>
      <c r="L62" s="77"/>
      <c r="M62" s="90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F62" s="200"/>
      <c r="AG62" s="200"/>
    </row>
    <row r="63" spans="3:33" ht="15" customHeight="1">
      <c r="C63" s="77"/>
      <c r="E63" s="90"/>
      <c r="F63" s="77"/>
      <c r="G63" s="90"/>
      <c r="I63" s="77"/>
      <c r="J63" s="90"/>
      <c r="K63" s="165"/>
      <c r="L63" s="77"/>
      <c r="M63" s="90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F63" s="200"/>
      <c r="AG63" s="200"/>
    </row>
    <row r="64" spans="3:33" ht="15" customHeight="1">
      <c r="C64" s="77"/>
      <c r="E64" s="90"/>
      <c r="F64" s="77"/>
      <c r="G64" s="90"/>
      <c r="I64" s="77"/>
      <c r="J64" s="90"/>
      <c r="K64" s="165"/>
      <c r="L64" s="77"/>
      <c r="M64" s="90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F64" s="200"/>
      <c r="AG64" s="200"/>
    </row>
    <row r="65" spans="1:33" ht="15" customHeight="1">
      <c r="C65" s="77"/>
      <c r="E65" s="90"/>
      <c r="F65" s="77"/>
      <c r="G65" s="90"/>
      <c r="I65" s="77"/>
      <c r="J65" s="90"/>
      <c r="K65" s="165"/>
      <c r="L65" s="77"/>
      <c r="M65" s="90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F65" s="200"/>
      <c r="AG65" s="200"/>
    </row>
    <row r="66" spans="1:33" ht="15" customHeight="1">
      <c r="C66" s="77"/>
      <c r="E66" s="90"/>
      <c r="F66" s="77"/>
      <c r="G66" s="90"/>
      <c r="I66" s="77"/>
      <c r="J66" s="90"/>
      <c r="K66" s="165"/>
      <c r="L66" s="77"/>
      <c r="M66" s="90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F66" s="200"/>
      <c r="AG66" s="200"/>
    </row>
    <row r="67" spans="1:33" ht="15" customHeight="1">
      <c r="C67" s="77"/>
      <c r="E67" s="90"/>
      <c r="F67" s="77"/>
      <c r="G67" s="90"/>
      <c r="I67" s="77"/>
      <c r="J67" s="90"/>
      <c r="K67" s="165"/>
      <c r="L67" s="77"/>
      <c r="M67" s="90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F67" s="200"/>
      <c r="AG67" s="200"/>
    </row>
    <row r="68" spans="1:33" ht="15" customHeight="1">
      <c r="C68" s="77"/>
      <c r="E68" s="90"/>
      <c r="F68" s="77"/>
      <c r="G68" s="90"/>
      <c r="I68" s="77"/>
      <c r="J68" s="90"/>
      <c r="K68" s="165"/>
      <c r="L68" s="77"/>
      <c r="M68" s="90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F68" s="200"/>
      <c r="AG68" s="200"/>
    </row>
    <row r="69" spans="1:33" ht="15" customHeight="1">
      <c r="C69" s="77"/>
      <c r="E69" s="90"/>
      <c r="F69" s="77"/>
      <c r="G69" s="90"/>
      <c r="I69" s="77"/>
      <c r="J69" s="90"/>
      <c r="K69" s="165"/>
      <c r="L69" s="77"/>
      <c r="M69" s="90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F69" s="200"/>
      <c r="AG69" s="200"/>
    </row>
    <row r="70" spans="1:33" ht="15" customHeight="1">
      <c r="C70" s="77"/>
      <c r="E70" s="90"/>
      <c r="F70" s="77"/>
      <c r="G70" s="90"/>
      <c r="I70" s="77"/>
      <c r="J70" s="90"/>
      <c r="K70" s="165"/>
      <c r="L70" s="77"/>
      <c r="M70" s="90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F70" s="200"/>
      <c r="AG70" s="200"/>
    </row>
    <row r="71" spans="1:33" ht="15" customHeight="1" thickBot="1">
      <c r="C71" s="77"/>
      <c r="E71" s="90"/>
      <c r="F71" s="77"/>
      <c r="G71" s="90"/>
      <c r="I71" s="77"/>
      <c r="J71" s="90"/>
      <c r="K71" s="165"/>
      <c r="L71" s="77"/>
      <c r="M71" s="90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F71" s="200"/>
      <c r="AG71" s="200"/>
    </row>
    <row r="72" spans="1:33" ht="15" customHeight="1">
      <c r="A72" s="166" t="s">
        <v>101</v>
      </c>
      <c r="B72" s="67"/>
      <c r="C72" s="67"/>
      <c r="D72" s="167"/>
      <c r="E72" s="168" t="s">
        <v>102</v>
      </c>
      <c r="F72" s="67"/>
      <c r="G72" s="169"/>
      <c r="H72" s="67"/>
      <c r="I72" s="67"/>
      <c r="J72" s="167"/>
      <c r="K72" s="170" t="s">
        <v>103</v>
      </c>
      <c r="L72" s="67"/>
      <c r="M72" s="169"/>
      <c r="N72" s="68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F72" s="200"/>
      <c r="AG72" s="200"/>
    </row>
    <row r="73" spans="1:33" ht="15" customHeight="1">
      <c r="A73" s="78"/>
      <c r="C73" s="77"/>
      <c r="D73" s="171"/>
      <c r="E73" s="172"/>
      <c r="F73" s="77"/>
      <c r="G73" s="90"/>
      <c r="I73" s="77"/>
      <c r="J73" s="171"/>
      <c r="K73" s="173"/>
      <c r="L73" s="77"/>
      <c r="M73" s="90"/>
      <c r="N73" s="79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F73" s="200"/>
      <c r="AG73" s="200"/>
    </row>
    <row r="74" spans="1:33" ht="15" customHeight="1" thickBot="1">
      <c r="A74" s="81"/>
      <c r="B74" s="82"/>
      <c r="C74" s="82"/>
      <c r="D74" s="174">
        <f>M4</f>
        <v>45239</v>
      </c>
      <c r="E74" s="175"/>
      <c r="F74" s="82"/>
      <c r="G74" s="176"/>
      <c r="H74" s="82"/>
      <c r="I74" s="82"/>
      <c r="J74" s="174">
        <f>D74</f>
        <v>45239</v>
      </c>
      <c r="K74" s="177"/>
      <c r="L74" s="82"/>
      <c r="M74" s="176"/>
      <c r="N74" s="174">
        <f>J74</f>
        <v>45239</v>
      </c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F74" s="200"/>
      <c r="AG74" s="200"/>
    </row>
    <row r="75" spans="1:33" ht="20.100000000000001" customHeight="1">
      <c r="A75" s="66"/>
      <c r="B75" s="67"/>
      <c r="C75" s="68"/>
      <c r="D75" s="178"/>
      <c r="E75" s="178"/>
      <c r="F75" s="178"/>
      <c r="G75" s="178"/>
      <c r="H75" s="178"/>
      <c r="I75" s="178"/>
      <c r="J75" s="179"/>
      <c r="K75" s="178"/>
      <c r="L75" s="180"/>
      <c r="M75" s="581"/>
      <c r="N75" s="582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F75" s="200"/>
      <c r="AG75" s="200"/>
    </row>
    <row r="76" spans="1:33" ht="20.100000000000001" customHeight="1">
      <c r="A76" s="78"/>
      <c r="C76" s="79"/>
      <c r="D76" s="667" t="str">
        <f>D2</f>
        <v>MAC QT 315 L</v>
      </c>
      <c r="E76" s="668"/>
      <c r="F76" s="668"/>
      <c r="G76" s="668"/>
      <c r="H76" s="668"/>
      <c r="I76" s="668"/>
      <c r="J76" s="668"/>
      <c r="K76" s="669"/>
      <c r="L76" s="181"/>
      <c r="M76" s="670"/>
      <c r="N76" s="592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F76" s="200"/>
      <c r="AG76" s="200"/>
    </row>
    <row r="77" spans="1:33" ht="20.100000000000001" customHeight="1">
      <c r="A77" s="78"/>
      <c r="C77" s="79"/>
      <c r="D77" s="588" t="s">
        <v>179</v>
      </c>
      <c r="E77" s="589"/>
      <c r="F77" s="589"/>
      <c r="G77" s="589"/>
      <c r="H77" s="589"/>
      <c r="I77" s="589"/>
      <c r="J77" s="589"/>
      <c r="K77" s="590"/>
      <c r="L77" s="181" t="s">
        <v>105</v>
      </c>
      <c r="M77" s="591" t="str">
        <f>'driving mode datasheet'!M77</f>
        <v>2 de 3</v>
      </c>
      <c r="N77" s="592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F77" s="200"/>
      <c r="AG77" s="200"/>
    </row>
    <row r="78" spans="1:33" ht="20.100000000000001" customHeight="1">
      <c r="A78" s="78"/>
      <c r="C78" s="79"/>
      <c r="D78" s="597" t="s">
        <v>180</v>
      </c>
      <c r="E78" s="598"/>
      <c r="F78" s="598"/>
      <c r="G78" s="598"/>
      <c r="H78" s="598"/>
      <c r="I78" s="598"/>
      <c r="J78" s="598"/>
      <c r="K78" s="599"/>
      <c r="L78" s="181" t="s">
        <v>13</v>
      </c>
      <c r="M78" s="600">
        <f>'driving mode datasheet'!M78</f>
        <v>45239</v>
      </c>
      <c r="N78" s="666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F78" s="200"/>
      <c r="AG78" s="200"/>
    </row>
    <row r="79" spans="1:33" ht="20.100000000000001" customHeight="1" thickBot="1">
      <c r="A79" s="81"/>
      <c r="B79" s="82"/>
      <c r="C79" s="83"/>
      <c r="D79" s="182"/>
      <c r="E79" s="182"/>
      <c r="F79" s="182"/>
      <c r="G79" s="182"/>
      <c r="H79" s="182"/>
      <c r="I79" s="182"/>
      <c r="J79" s="183"/>
      <c r="K79" s="182"/>
      <c r="L79" s="184"/>
      <c r="M79" s="601"/>
      <c r="N79" s="602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F79" s="200"/>
      <c r="AG79" s="200"/>
    </row>
    <row r="80" spans="1:33" ht="20.100000000000001" customHeight="1" thickBot="1">
      <c r="C80" s="77"/>
      <c r="D80" s="77"/>
      <c r="F80" s="77"/>
      <c r="I80" s="77"/>
      <c r="J80" s="77"/>
      <c r="L80" s="77"/>
      <c r="O80" s="556"/>
      <c r="P80" s="74"/>
      <c r="Q80" s="74"/>
      <c r="R80" s="74"/>
      <c r="S80" s="401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F80" s="200"/>
      <c r="AG80" s="200"/>
    </row>
    <row r="81" spans="1:56" s="136" customFormat="1" ht="18" customHeight="1">
      <c r="A81" s="671" t="s">
        <v>69</v>
      </c>
      <c r="B81" s="672"/>
      <c r="C81" s="672"/>
      <c r="D81" s="672"/>
      <c r="E81" s="673" t="s">
        <v>70</v>
      </c>
      <c r="F81" s="675">
        <f>F21</f>
        <v>400</v>
      </c>
      <c r="G81" s="676"/>
      <c r="H81" s="671" t="s">
        <v>71</v>
      </c>
      <c r="I81" s="672"/>
      <c r="J81" s="672"/>
      <c r="K81" s="672"/>
      <c r="L81" s="673" t="s">
        <v>72</v>
      </c>
      <c r="M81" s="675">
        <f>M21</f>
        <v>400</v>
      </c>
      <c r="N81" s="676"/>
      <c r="O81" s="74"/>
      <c r="P81" s="74"/>
      <c r="Q81" s="721"/>
      <c r="R81" s="721"/>
      <c r="S81" s="721"/>
      <c r="T81" s="721"/>
      <c r="U81" s="74"/>
      <c r="V81" s="74"/>
      <c r="W81" s="721"/>
      <c r="X81" s="721"/>
      <c r="Y81" s="721"/>
      <c r="Z81" s="721"/>
      <c r="AA81" s="721"/>
      <c r="AB81" s="721"/>
      <c r="AC81" s="74"/>
      <c r="AD81" s="74"/>
      <c r="AE81" s="74"/>
      <c r="AF81" s="74"/>
      <c r="AG81" s="74"/>
      <c r="AI81" s="74"/>
      <c r="AJ81" s="74"/>
      <c r="AK81" s="74"/>
      <c r="AL81" s="290"/>
      <c r="AM81" s="290"/>
      <c r="AN81" s="290"/>
      <c r="AO81" s="291"/>
      <c r="AP81" s="290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5"/>
      <c r="BB81" s="75"/>
      <c r="BC81" s="75"/>
      <c r="BD81" s="75"/>
    </row>
    <row r="82" spans="1:56" s="136" customFormat="1" ht="18" customHeight="1" thickBot="1">
      <c r="A82" s="683" t="s">
        <v>73</v>
      </c>
      <c r="B82" s="684"/>
      <c r="C82" s="684"/>
      <c r="D82" s="684"/>
      <c r="E82" s="674"/>
      <c r="F82" s="677"/>
      <c r="G82" s="678"/>
      <c r="H82" s="683" t="s">
        <v>74</v>
      </c>
      <c r="I82" s="684"/>
      <c r="J82" s="684"/>
      <c r="K82" s="684"/>
      <c r="L82" s="674"/>
      <c r="M82" s="677"/>
      <c r="N82" s="678"/>
      <c r="O82" s="74"/>
      <c r="P82" s="74"/>
      <c r="Q82" s="722"/>
      <c r="R82" s="722"/>
      <c r="S82" s="722"/>
      <c r="T82" s="722"/>
      <c r="U82" s="74"/>
      <c r="V82" s="74"/>
      <c r="W82" s="722"/>
      <c r="X82" s="722"/>
      <c r="Y82" s="722"/>
      <c r="Z82" s="722"/>
      <c r="AA82" s="722"/>
      <c r="AB82" s="722"/>
      <c r="AC82" s="74"/>
      <c r="AD82" s="74"/>
      <c r="AE82" s="74"/>
      <c r="AF82" s="74"/>
      <c r="AG82" s="74"/>
      <c r="AI82" s="74"/>
      <c r="AJ82" s="74"/>
      <c r="AK82" s="74"/>
      <c r="AL82" s="290"/>
      <c r="AM82" s="290"/>
      <c r="AN82" s="290"/>
      <c r="AO82" s="291"/>
      <c r="AP82" s="290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5"/>
      <c r="BB82" s="75"/>
      <c r="BC82" s="75"/>
      <c r="BD82" s="75"/>
    </row>
    <row r="83" spans="1:56" s="136" customFormat="1" ht="18" customHeight="1" thickBot="1">
      <c r="B83" s="117"/>
      <c r="C83" s="117"/>
      <c r="D83" s="117"/>
      <c r="E83" s="117"/>
      <c r="F83" s="144" t="str">
        <f>IF(F81&gt;500," LA TENSIÓN DE BASE HA DE SER INFERIOR O IGUAL A 500 V"," ")</f>
        <v xml:space="preserve"> </v>
      </c>
      <c r="G83" s="185" t="str">
        <f>IF(M81&gt;500," LA TENSIÓN MÁXIMA HA DE SER INFERIOR O IGUAL A 500 V"," ")</f>
        <v xml:space="preserve"> </v>
      </c>
      <c r="I83" s="186"/>
      <c r="J83" s="117"/>
      <c r="K83" s="186"/>
      <c r="L83" s="186"/>
      <c r="N83" s="144" t="str">
        <f>IF(M81&lt;F81," LA TENSIÓN MÁXIMA HA DE SER SUPERIOR O IGUAL A LA DE BASE"," ")</f>
        <v xml:space="preserve"> </v>
      </c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I83" s="74"/>
      <c r="AJ83" s="74"/>
      <c r="AK83" s="74"/>
      <c r="AL83" s="290"/>
      <c r="AM83" s="290"/>
      <c r="AN83" s="291"/>
      <c r="AO83" s="290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5"/>
      <c r="BB83" s="75"/>
      <c r="BC83" s="75"/>
      <c r="BD83" s="75"/>
    </row>
    <row r="84" spans="1:56" s="136" customFormat="1" ht="18" customHeight="1">
      <c r="B84" s="650" t="s">
        <v>75</v>
      </c>
      <c r="C84" s="651"/>
      <c r="D84" s="651"/>
      <c r="E84" s="651"/>
      <c r="F84" s="654" t="str">
        <f>F24</f>
        <v>S1</v>
      </c>
      <c r="G84" s="142"/>
      <c r="H84" s="650" t="str">
        <f>H24</f>
        <v>Servicio / Service  S6 -</v>
      </c>
      <c r="I84" s="651"/>
      <c r="J84" s="651"/>
      <c r="K84" s="651"/>
      <c r="L84" s="686">
        <f>L24</f>
        <v>0.4</v>
      </c>
      <c r="M84" s="187"/>
      <c r="N84" s="14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I84" s="74"/>
      <c r="AJ84" s="74"/>
      <c r="AK84" s="74"/>
      <c r="AL84" s="290"/>
      <c r="AM84" s="290"/>
      <c r="AN84" s="291"/>
      <c r="AO84" s="290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5"/>
      <c r="BB84" s="75"/>
      <c r="BC84" s="75"/>
      <c r="BD84" s="75"/>
    </row>
    <row r="85" spans="1:56" s="136" customFormat="1" ht="18" customHeight="1" thickBot="1">
      <c r="A85" s="107"/>
      <c r="B85" s="652"/>
      <c r="C85" s="653"/>
      <c r="D85" s="653"/>
      <c r="E85" s="653"/>
      <c r="F85" s="655"/>
      <c r="G85" s="145"/>
      <c r="H85" s="652"/>
      <c r="I85" s="653"/>
      <c r="J85" s="653"/>
      <c r="K85" s="653">
        <f>H29</f>
        <v>9227.8155472754024</v>
      </c>
      <c r="L85" s="687">
        <f>L29</f>
        <v>22.774041128765191</v>
      </c>
      <c r="M85" s="188"/>
      <c r="N85" s="85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I85" s="74"/>
      <c r="AJ85" s="74"/>
      <c r="AK85" s="74"/>
      <c r="AL85" s="290"/>
      <c r="AM85" s="291"/>
      <c r="AN85" s="290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5"/>
      <c r="BB85" s="75"/>
      <c r="BC85" s="75"/>
      <c r="BD85" s="75"/>
    </row>
    <row r="86" spans="1:56" s="136" customFormat="1" ht="99.75" customHeight="1" thickBot="1">
      <c r="A86" s="189" t="s">
        <v>226</v>
      </c>
      <c r="B86" s="148" t="s">
        <v>79</v>
      </c>
      <c r="C86" s="149" t="s">
        <v>80</v>
      </c>
      <c r="D86" s="148" t="s">
        <v>81</v>
      </c>
      <c r="E86" s="150" t="s">
        <v>82</v>
      </c>
      <c r="F86" s="151" t="s">
        <v>83</v>
      </c>
      <c r="G86" s="149" t="s">
        <v>84</v>
      </c>
      <c r="H86" s="151" t="s">
        <v>79</v>
      </c>
      <c r="I86" s="149" t="s">
        <v>85</v>
      </c>
      <c r="J86" s="148" t="s">
        <v>81</v>
      </c>
      <c r="K86" s="150" t="s">
        <v>82</v>
      </c>
      <c r="L86" s="151" t="s">
        <v>83</v>
      </c>
      <c r="M86" s="149" t="s">
        <v>84</v>
      </c>
      <c r="N86" s="152" t="s">
        <v>86</v>
      </c>
      <c r="O86" s="396" t="s">
        <v>87</v>
      </c>
      <c r="P86" s="396" t="s">
        <v>88</v>
      </c>
      <c r="Q86" s="396" t="s">
        <v>83</v>
      </c>
      <c r="R86" s="396" t="s">
        <v>82</v>
      </c>
      <c r="S86" s="396" t="s">
        <v>89</v>
      </c>
      <c r="T86" s="396"/>
      <c r="U86" s="396" t="s">
        <v>90</v>
      </c>
      <c r="V86" s="396" t="s">
        <v>91</v>
      </c>
      <c r="W86" s="396" t="s">
        <v>92</v>
      </c>
      <c r="X86" s="396" t="s">
        <v>93</v>
      </c>
      <c r="Y86" s="396" t="s">
        <v>94</v>
      </c>
      <c r="Z86" s="396" t="s">
        <v>95</v>
      </c>
      <c r="AA86" s="396" t="s">
        <v>96</v>
      </c>
      <c r="AB86" s="396" t="s">
        <v>97</v>
      </c>
      <c r="AC86" s="396" t="str">
        <f>AC26</f>
        <v>rpm lim s1</v>
      </c>
      <c r="AD86" s="396" t="str">
        <f>AD26</f>
        <v>Coef</v>
      </c>
      <c r="AE86" s="396"/>
      <c r="AF86" s="396"/>
      <c r="AG86" s="396"/>
      <c r="AH86" s="439"/>
      <c r="AI86" s="396"/>
      <c r="AJ86" s="396"/>
      <c r="AK86" s="396"/>
      <c r="AL86" s="396"/>
      <c r="AM86" s="396"/>
      <c r="AN86" s="396"/>
      <c r="AO86" s="396"/>
      <c r="AP86" s="396"/>
      <c r="AQ86" s="440"/>
      <c r="AR86" s="440"/>
      <c r="AS86" s="440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</row>
    <row r="87" spans="1:56" s="104" customFormat="1" ht="24.95" customHeight="1" thickBot="1">
      <c r="A87" s="190" t="s">
        <v>238</v>
      </c>
      <c r="B87" s="191">
        <f>VLOOKUP($A$87,$A$27:$Y$40,2,FALSE)</f>
        <v>6200</v>
      </c>
      <c r="C87" s="441">
        <f>VLOOKUP($A$87,$A$27:$Y$40,3,FALSE)</f>
        <v>891.29533660212417</v>
      </c>
      <c r="D87" s="442">
        <f>VLOOKUP($A$87,$A$27:$Y$40,4,FALSE)</f>
        <v>537.64776850564226</v>
      </c>
      <c r="E87" s="193">
        <f>VLOOKUP($A$87,$A$27:$Y$40,5,FALSE)</f>
        <v>828.09000000000015</v>
      </c>
      <c r="F87" s="194">
        <f>VLOOKUP($A$87,$A$27:$Y$40,6,FALSE)</f>
        <v>40.799999999999997</v>
      </c>
      <c r="G87" s="192">
        <f>VLOOKUP($A$87,$A$27:$Y$40,7,FALSE)</f>
        <v>1226.7959564244654</v>
      </c>
      <c r="H87" s="191">
        <f>VLOOKUP($A$87,$A$27:$Y$40,8,FALSE)</f>
        <v>9232.1535803253009</v>
      </c>
      <c r="I87" s="441">
        <f>VLOOKUP($A$87,$A$27:$Y$40,9,FALSE)</f>
        <v>1284.3474624165262</v>
      </c>
      <c r="J87" s="442">
        <f>VLOOKUP($A$87,$A$27:$Y$40,10,FALSE)</f>
        <v>800.58818886504423</v>
      </c>
      <c r="K87" s="193">
        <f>VLOOKUP($A$87,$A$27:$Y$40,11,FALSE)</f>
        <v>804.84268339304151</v>
      </c>
      <c r="L87" s="194">
        <f>VLOOKUP($A$87,$A$27:$Y$40,12,FALSE)</f>
        <v>39.341999195570345</v>
      </c>
      <c r="M87" s="192">
        <f>VLOOKUP($A$87,$A$27:$Y$40,13,FALSE)</f>
        <v>804.84268339304151</v>
      </c>
      <c r="N87" s="443">
        <f>VLOOKUP($A$87,$A$27:$Y$40,14,FALSE)</f>
        <v>303.1701328119147</v>
      </c>
      <c r="O87" s="546">
        <f>VLOOKUP($A$87,$A$27:$Y$40,15,FALSE)</f>
        <v>0.95556187357726197</v>
      </c>
      <c r="P87" s="546">
        <f>VLOOKUP($A$87,$A$27:$Y$40,16,FALSE)</f>
        <v>0.82955354773603751</v>
      </c>
      <c r="Q87" s="524">
        <f>VLOOKUP($A$87,$A$27:$Y$40,17,FALSE)</f>
        <v>51</v>
      </c>
      <c r="R87" s="524">
        <f>VLOOKUP($A$87,$A$27:$Y$40,18,FALSE)</f>
        <v>1032.0900000000001</v>
      </c>
      <c r="S87" s="525">
        <f>VLOOKUP($A$87,$A$27:$Y$40,19,FALSE)</f>
        <v>-12.090000000000146</v>
      </c>
      <c r="T87" s="524"/>
      <c r="U87" s="525">
        <f>VLOOKUP($A$87,$A$27:$Y$40,21,FALSE)</f>
        <v>9232.1535803253009</v>
      </c>
      <c r="V87" s="525">
        <f>VLOOKUP($A$87,$A$27:$Y$40,22,FALSE)</f>
        <v>1284.3474624165262</v>
      </c>
      <c r="W87" s="524">
        <f>VLOOKUP($A$87,$A$27:$Y$40,23,FALSE)</f>
        <v>1879.6593333362453</v>
      </c>
      <c r="X87" s="524">
        <f>VLOOKUP($A$87,$A$27:$Y$40,24,FALSE)</f>
        <v>13722.252236636758</v>
      </c>
      <c r="Y87" s="525">
        <f>VLOOKUP($A$87,$A$27:$Y$40,25,FALSE)</f>
        <v>667.44967099168366</v>
      </c>
      <c r="Z87" s="525">
        <f>VLOOKUP($A$87,$A$27:$AD$40,26,FALSE)</f>
        <v>959.11909935881226</v>
      </c>
      <c r="AA87" s="525">
        <f>VLOOKUP($A$87,$A$27:$AD$40,27,FALSE)</f>
        <v>779.13020779932447</v>
      </c>
      <c r="AB87" s="525">
        <f>VLOOKUP($A$87,$A$27:$AD$40,28,FALSE)</f>
        <v>804.84268339304151</v>
      </c>
      <c r="AC87" s="525">
        <f>VLOOKUP($A$87,$A$27:$AD$40,29,FALSE)</f>
        <v>1226.7959564244654</v>
      </c>
      <c r="AD87" s="523">
        <f>VLOOKUP($A$87,$A$27:$AD$40,30,FALSE)</f>
        <v>0.877</v>
      </c>
      <c r="AE87" s="102"/>
      <c r="AF87" s="102"/>
      <c r="AG87" s="102"/>
      <c r="AH87" s="102"/>
      <c r="AI87" s="102"/>
      <c r="AJ87" s="102"/>
      <c r="AK87" s="102"/>
      <c r="AL87" s="102"/>
      <c r="AM87" s="102"/>
      <c r="AN87" s="102"/>
      <c r="AO87" s="102"/>
      <c r="AP87" s="102"/>
      <c r="AQ87" s="102"/>
      <c r="AR87" s="102"/>
      <c r="AS87" s="102"/>
      <c r="AT87" s="102"/>
      <c r="AU87" s="102"/>
      <c r="AV87" s="102"/>
      <c r="AW87" s="102"/>
      <c r="AX87" s="102"/>
      <c r="AY87" s="102"/>
      <c r="AZ87" s="102"/>
      <c r="BA87" s="101"/>
      <c r="BB87" s="101"/>
      <c r="BC87" s="101"/>
      <c r="BD87" s="101"/>
    </row>
    <row r="88" spans="1:56" ht="19.5" customHeight="1" thickBot="1">
      <c r="A88" s="195" t="str">
        <f>IF(O87=0,"ESTE BOBINADO NO EXISTE   /   THIS WINDING DOESN'T EXIST","")</f>
        <v/>
      </c>
      <c r="B88" s="196"/>
      <c r="C88" s="196"/>
      <c r="D88" s="196"/>
      <c r="E88" s="196"/>
      <c r="F88" s="196"/>
      <c r="G88" s="196"/>
      <c r="H88" s="196"/>
      <c r="I88" s="196"/>
      <c r="J88" s="196"/>
      <c r="K88" s="196"/>
      <c r="L88" s="196"/>
      <c r="M88" s="196"/>
      <c r="N88" s="196"/>
      <c r="O88" s="547"/>
      <c r="P88" s="548"/>
      <c r="Q88" s="548"/>
      <c r="R88" s="397"/>
      <c r="S88" s="549"/>
      <c r="T88" s="74"/>
      <c r="U88" s="290"/>
      <c r="V88" s="290"/>
      <c r="W88" s="290"/>
      <c r="X88" s="74"/>
      <c r="Y88" s="74"/>
      <c r="Z88" s="74"/>
      <c r="AA88" s="74"/>
      <c r="AB88" s="74"/>
      <c r="AC88" s="74"/>
      <c r="AD88" s="74"/>
      <c r="AE88" s="74"/>
      <c r="AF88" s="74"/>
      <c r="AG88" s="74"/>
    </row>
    <row r="89" spans="1:56" ht="15" customHeight="1">
      <c r="A89" s="715" t="s">
        <v>108</v>
      </c>
      <c r="B89" s="716"/>
      <c r="C89" s="717"/>
      <c r="D89" s="196"/>
      <c r="E89" s="196"/>
      <c r="F89" s="196"/>
      <c r="G89" s="196"/>
      <c r="H89" s="196"/>
      <c r="I89" s="196"/>
      <c r="J89" s="196"/>
      <c r="K89" s="196"/>
      <c r="L89" s="196"/>
      <c r="M89" s="196"/>
      <c r="N89" s="196"/>
      <c r="O89" s="399"/>
      <c r="P89" s="548"/>
      <c r="Q89" s="548"/>
      <c r="R89" s="548"/>
      <c r="S89" s="549"/>
      <c r="T89" s="74"/>
      <c r="U89" s="290"/>
      <c r="V89" s="290"/>
      <c r="W89" s="290"/>
      <c r="X89" s="74"/>
      <c r="Y89" s="74"/>
      <c r="Z89" s="74"/>
      <c r="AA89" s="74"/>
      <c r="AB89" s="74"/>
      <c r="AC89" s="74"/>
      <c r="AF89" s="200"/>
      <c r="AG89" s="200"/>
    </row>
    <row r="90" spans="1:56" ht="15" customHeight="1" thickBot="1">
      <c r="A90" s="718"/>
      <c r="B90" s="719"/>
      <c r="C90" s="720"/>
      <c r="D90" s="196"/>
      <c r="E90" s="196"/>
      <c r="F90" s="196"/>
      <c r="G90" s="196"/>
      <c r="H90" s="196"/>
      <c r="I90" s="196"/>
      <c r="J90" s="196"/>
      <c r="K90" s="196"/>
      <c r="L90" s="196"/>
      <c r="M90" s="196"/>
      <c r="N90" s="196"/>
      <c r="O90" s="550"/>
      <c r="P90" s="551"/>
      <c r="Q90" s="551"/>
      <c r="R90" s="552"/>
      <c r="S90" s="549"/>
      <c r="T90" s="74"/>
      <c r="U90" s="290"/>
      <c r="V90" s="290"/>
      <c r="W90" s="290"/>
      <c r="X90" s="74"/>
      <c r="Y90" s="74"/>
      <c r="Z90" s="74"/>
      <c r="AA90" s="74"/>
      <c r="AB90" s="74"/>
      <c r="AC90" s="74"/>
      <c r="AF90" s="200"/>
      <c r="AG90" s="200"/>
    </row>
    <row r="91" spans="1:56" ht="15" customHeight="1" thickBot="1">
      <c r="A91" s="368" t="s">
        <v>82</v>
      </c>
      <c r="B91" s="368" t="s">
        <v>109</v>
      </c>
      <c r="C91" s="368" t="s">
        <v>110</v>
      </c>
      <c r="D91" s="196"/>
      <c r="E91" s="196"/>
      <c r="F91" s="196"/>
      <c r="G91" s="196"/>
      <c r="H91" s="196"/>
      <c r="I91" s="196"/>
      <c r="J91" s="196"/>
      <c r="K91" s="196"/>
      <c r="L91" s="196"/>
      <c r="M91" s="196"/>
      <c r="N91" s="196"/>
      <c r="O91" s="550"/>
      <c r="P91" s="547"/>
      <c r="Q91" s="547"/>
      <c r="R91" s="553"/>
      <c r="S91" s="549"/>
      <c r="T91" s="74"/>
      <c r="U91" s="290"/>
      <c r="V91" s="290"/>
      <c r="W91" s="290"/>
      <c r="X91" s="74"/>
      <c r="Y91" s="74"/>
      <c r="Z91" s="74"/>
      <c r="AA91" s="74"/>
      <c r="AB91" s="74"/>
      <c r="AC91" s="74"/>
      <c r="AF91" s="200"/>
      <c r="AG91" s="200"/>
    </row>
    <row r="92" spans="1:56" ht="15" customHeight="1">
      <c r="A92" s="369"/>
      <c r="B92" s="370"/>
      <c r="C92" s="371"/>
      <c r="D92" s="196"/>
      <c r="E92" s="196"/>
      <c r="F92" s="196"/>
      <c r="G92" s="196"/>
      <c r="H92" s="196"/>
      <c r="I92" s="196"/>
      <c r="J92" s="196"/>
      <c r="K92" s="196"/>
      <c r="L92" s="196"/>
      <c r="M92" s="196"/>
      <c r="N92" s="196"/>
      <c r="O92" s="550"/>
      <c r="P92" s="547"/>
      <c r="Q92" s="547"/>
      <c r="R92" s="553"/>
      <c r="S92" s="549"/>
      <c r="T92" s="74"/>
      <c r="U92" s="290"/>
      <c r="V92" s="290"/>
      <c r="W92" s="290"/>
      <c r="X92" s="74"/>
      <c r="Y92" s="74"/>
      <c r="Z92" s="74"/>
      <c r="AA92" s="74"/>
      <c r="AB92" s="74"/>
      <c r="AC92" s="74"/>
      <c r="AF92" s="200"/>
      <c r="AG92" s="200"/>
    </row>
    <row r="93" spans="1:56" ht="15" customHeight="1">
      <c r="A93" s="372"/>
      <c r="B93" s="373"/>
      <c r="C93" s="374"/>
      <c r="D93" s="196"/>
      <c r="E93" s="196"/>
      <c r="F93" s="196"/>
      <c r="G93" s="196"/>
      <c r="H93" s="196"/>
      <c r="I93" s="196"/>
      <c r="J93" s="196"/>
      <c r="K93" s="196"/>
      <c r="L93" s="196"/>
      <c r="M93" s="196"/>
      <c r="N93" s="196"/>
      <c r="O93" s="550"/>
      <c r="P93" s="547"/>
      <c r="Q93" s="547"/>
      <c r="R93" s="552"/>
      <c r="S93" s="549"/>
      <c r="T93" s="74"/>
      <c r="U93" s="290"/>
      <c r="V93" s="290"/>
      <c r="W93" s="290"/>
      <c r="X93" s="74"/>
      <c r="Y93" s="74"/>
      <c r="Z93" s="74"/>
      <c r="AA93" s="74"/>
      <c r="AB93" s="74"/>
      <c r="AC93" s="74"/>
      <c r="AF93" s="200"/>
      <c r="AG93" s="200"/>
    </row>
    <row r="94" spans="1:56" ht="15" customHeight="1">
      <c r="A94" s="372"/>
      <c r="B94" s="373"/>
      <c r="C94" s="374"/>
      <c r="D94" s="196"/>
      <c r="E94" s="196"/>
      <c r="F94" s="196"/>
      <c r="G94" s="196"/>
      <c r="H94" s="196"/>
      <c r="I94" s="196"/>
      <c r="J94" s="196"/>
      <c r="K94" s="196"/>
      <c r="L94" s="196"/>
      <c r="M94" s="196"/>
      <c r="O94" s="550"/>
      <c r="P94" s="551"/>
      <c r="Q94" s="554"/>
      <c r="R94" s="555"/>
      <c r="S94" s="549"/>
      <c r="T94" s="74"/>
      <c r="U94" s="290"/>
      <c r="V94" s="290"/>
      <c r="W94" s="398"/>
      <c r="X94" s="74"/>
      <c r="Y94" s="74"/>
      <c r="Z94" s="74"/>
      <c r="AA94" s="74"/>
      <c r="AB94" s="74"/>
      <c r="AC94" s="74"/>
      <c r="AF94" s="200"/>
      <c r="AG94" s="200"/>
    </row>
    <row r="95" spans="1:56" ht="15" customHeight="1">
      <c r="A95" s="372"/>
      <c r="B95" s="373"/>
      <c r="C95" s="374"/>
      <c r="D95" s="77"/>
      <c r="F95" s="77"/>
      <c r="I95" s="77"/>
      <c r="J95" s="77"/>
      <c r="L95" s="77"/>
      <c r="N95" s="197"/>
      <c r="O95" s="550"/>
      <c r="P95" s="554"/>
      <c r="Q95" s="555"/>
      <c r="R95" s="555"/>
      <c r="S95" s="549"/>
      <c r="T95" s="74"/>
      <c r="U95" s="290"/>
      <c r="V95" s="290"/>
      <c r="W95" s="290"/>
      <c r="X95" s="74"/>
      <c r="Y95" s="74"/>
      <c r="Z95" s="74"/>
      <c r="AA95" s="74"/>
      <c r="AB95" s="74"/>
      <c r="AC95" s="74"/>
      <c r="AF95" s="200"/>
      <c r="AG95" s="200"/>
    </row>
    <row r="96" spans="1:56" ht="15" customHeight="1">
      <c r="A96" s="372"/>
      <c r="B96" s="373"/>
      <c r="C96" s="374"/>
      <c r="D96" s="197"/>
      <c r="E96" s="197"/>
      <c r="F96" s="197"/>
      <c r="G96" s="197"/>
      <c r="H96" s="197"/>
      <c r="I96" s="197"/>
      <c r="J96" s="197"/>
      <c r="K96" s="197"/>
      <c r="L96" s="197"/>
      <c r="M96" s="197"/>
      <c r="O96" s="550"/>
      <c r="P96" s="547"/>
      <c r="Q96" s="552"/>
      <c r="R96" s="556"/>
      <c r="S96" s="549"/>
      <c r="T96" s="74"/>
      <c r="U96" s="74"/>
      <c r="V96" s="74"/>
      <c r="W96" s="290"/>
      <c r="X96" s="74"/>
      <c r="Y96" s="74"/>
      <c r="Z96" s="74"/>
      <c r="AA96" s="74"/>
      <c r="AB96" s="74"/>
      <c r="AC96" s="74"/>
      <c r="AF96" s="200"/>
      <c r="AG96" s="200"/>
    </row>
    <row r="97" spans="1:33" ht="15" customHeight="1">
      <c r="A97" s="372"/>
      <c r="B97" s="373"/>
      <c r="C97" s="374"/>
      <c r="D97" s="77"/>
      <c r="F97" s="77"/>
      <c r="I97" s="77"/>
      <c r="J97" s="77"/>
      <c r="L97" s="77"/>
      <c r="O97" s="557"/>
      <c r="P97" s="555"/>
      <c r="Q97" s="550"/>
      <c r="R97" s="558"/>
      <c r="S97" s="74"/>
      <c r="T97" s="74"/>
      <c r="U97" s="74"/>
      <c r="V97" s="74"/>
      <c r="W97" s="290"/>
      <c r="X97" s="74"/>
      <c r="Y97" s="74"/>
      <c r="Z97" s="74"/>
      <c r="AA97" s="74"/>
      <c r="AB97" s="74"/>
      <c r="AC97" s="74"/>
      <c r="AF97" s="200"/>
      <c r="AG97" s="200"/>
    </row>
    <row r="98" spans="1:33" ht="15" customHeight="1">
      <c r="A98" s="372"/>
      <c r="B98" s="373"/>
      <c r="C98" s="374"/>
      <c r="D98" s="77"/>
      <c r="F98" s="77"/>
      <c r="I98" s="77"/>
      <c r="J98" s="77"/>
      <c r="L98" s="77"/>
      <c r="O98" s="547"/>
      <c r="P98" s="547"/>
      <c r="Q98" s="551"/>
      <c r="R98" s="102"/>
      <c r="S98" s="402"/>
      <c r="T98" s="401"/>
      <c r="U98" s="102"/>
      <c r="V98" s="102"/>
      <c r="W98" s="290"/>
      <c r="X98" s="74"/>
      <c r="Y98" s="74"/>
      <c r="Z98" s="74"/>
      <c r="AA98" s="74"/>
      <c r="AB98" s="74"/>
      <c r="AC98" s="74"/>
      <c r="AF98" s="200"/>
      <c r="AG98" s="200"/>
    </row>
    <row r="99" spans="1:33" ht="15" customHeight="1">
      <c r="A99" s="372"/>
      <c r="B99" s="373"/>
      <c r="C99" s="374"/>
      <c r="D99" s="77"/>
      <c r="F99" s="77"/>
      <c r="I99" s="77"/>
      <c r="J99" s="77"/>
      <c r="L99" s="77"/>
      <c r="O99" s="74"/>
      <c r="P99" s="74" t="s">
        <v>111</v>
      </c>
      <c r="Q99" s="74" t="s">
        <v>262</v>
      </c>
      <c r="R99" s="74" t="s">
        <v>112</v>
      </c>
      <c r="S99" s="74" t="s">
        <v>113</v>
      </c>
      <c r="T99" s="74" t="s">
        <v>114</v>
      </c>
      <c r="U99" s="74" t="s">
        <v>90</v>
      </c>
      <c r="V99" s="74" t="s">
        <v>115</v>
      </c>
      <c r="W99" s="559" t="s">
        <v>116</v>
      </c>
      <c r="X99" s="74" t="s">
        <v>117</v>
      </c>
      <c r="Y99" s="74"/>
      <c r="Z99" s="74"/>
      <c r="AA99" s="74"/>
      <c r="AB99" s="74"/>
      <c r="AC99" s="74"/>
      <c r="AF99" s="200"/>
      <c r="AG99" s="200"/>
    </row>
    <row r="100" spans="1:33" ht="15" customHeight="1">
      <c r="A100" s="372"/>
      <c r="B100" s="373"/>
      <c r="C100" s="374"/>
      <c r="D100" s="77"/>
      <c r="F100" s="77"/>
      <c r="I100" s="77"/>
      <c r="J100" s="77"/>
      <c r="L100" s="77"/>
      <c r="O100" s="74"/>
      <c r="P100" s="526">
        <v>10</v>
      </c>
      <c r="Q100" s="556">
        <f>IF($D$87&lt;W100*0.9,$D$87,W100*0.9)</f>
        <v>0.20006480869007753</v>
      </c>
      <c r="R100" s="556">
        <f>B87</f>
        <v>6200</v>
      </c>
      <c r="S100" s="526">
        <f>P100</f>
        <v>10</v>
      </c>
      <c r="T100" s="556">
        <f>U100*V100*PI()/30000</f>
        <v>9.6678886215875561</v>
      </c>
      <c r="U100" s="556">
        <f>H87</f>
        <v>9232.1535803253009</v>
      </c>
      <c r="V100" s="526">
        <f>P100</f>
        <v>10</v>
      </c>
      <c r="W100" s="526">
        <f>X100*V100*PI()/30000</f>
        <v>0.22229423187786393</v>
      </c>
      <c r="X100" s="556">
        <v>212.27535494506813</v>
      </c>
      <c r="Y100" s="74"/>
      <c r="Z100" s="74"/>
      <c r="AA100" s="74"/>
      <c r="AB100" s="74"/>
      <c r="AC100" s="74"/>
      <c r="AF100" s="200"/>
      <c r="AG100" s="200"/>
    </row>
    <row r="101" spans="1:33" ht="15" customHeight="1">
      <c r="A101" s="372"/>
      <c r="B101" s="373"/>
      <c r="C101" s="374"/>
      <c r="D101" s="77"/>
      <c r="F101" s="77"/>
      <c r="I101" s="77"/>
      <c r="J101" s="77"/>
      <c r="L101" s="77"/>
      <c r="O101" s="74"/>
      <c r="P101" s="526">
        <f>E87</f>
        <v>828.09000000000015</v>
      </c>
      <c r="Q101" s="556">
        <f>R101*P101*PI()/30000</f>
        <v>537.64776850564226</v>
      </c>
      <c r="R101" s="556">
        <f>B87</f>
        <v>6200</v>
      </c>
      <c r="S101" s="526">
        <f>K87</f>
        <v>804.84268339304151</v>
      </c>
      <c r="T101" s="556">
        <f>U101*S101*PI()/30000</f>
        <v>778.11294209435835</v>
      </c>
      <c r="U101" s="556">
        <f>H87</f>
        <v>9232.1535803253009</v>
      </c>
      <c r="V101" s="526">
        <f>Y87</f>
        <v>667.44967099168366</v>
      </c>
      <c r="W101" s="526">
        <f t="shared" ref="W101:W131" si="23">X101*V101*PI()/30000</f>
        <v>14.837021193022933</v>
      </c>
      <c r="X101" s="556">
        <f>X100</f>
        <v>212.27535494506813</v>
      </c>
      <c r="Y101" s="74"/>
      <c r="Z101" s="74"/>
      <c r="AA101" s="74"/>
      <c r="AB101" s="74"/>
      <c r="AC101" s="74"/>
      <c r="AF101" s="200"/>
      <c r="AG101" s="200"/>
    </row>
    <row r="102" spans="1:33" ht="15" customHeight="1">
      <c r="A102" s="372"/>
      <c r="B102" s="373"/>
      <c r="C102" s="374"/>
      <c r="D102" s="77"/>
      <c r="F102" s="77"/>
      <c r="I102" s="77"/>
      <c r="J102" s="77"/>
      <c r="L102" s="77"/>
      <c r="O102" s="74"/>
      <c r="P102" s="526">
        <f>P101</f>
        <v>828.09000000000015</v>
      </c>
      <c r="Q102" s="556">
        <f>R102*P102*PI()/30000</f>
        <v>537.64776850564226</v>
      </c>
      <c r="R102" s="556">
        <f t="shared" ref="R102:R111" si="24">R101*P101/P102</f>
        <v>6200</v>
      </c>
      <c r="S102" s="526">
        <f>S101</f>
        <v>804.84268339304151</v>
      </c>
      <c r="T102" s="556">
        <f>U102*S102*PI()/30000</f>
        <v>778.11294209435835</v>
      </c>
      <c r="U102" s="556">
        <f t="shared" ref="U102:U111" si="25">U101*S101/S102</f>
        <v>9232.1535803253009</v>
      </c>
      <c r="V102" s="526">
        <f>V101</f>
        <v>667.44967099168366</v>
      </c>
      <c r="W102" s="526">
        <f t="shared" si="23"/>
        <v>14.837021193022933</v>
      </c>
      <c r="X102" s="556">
        <f>X101</f>
        <v>212.27535494506813</v>
      </c>
      <c r="Y102" s="74"/>
      <c r="Z102" s="74"/>
      <c r="AA102" s="74"/>
      <c r="AB102" s="74"/>
      <c r="AC102" s="74"/>
      <c r="AF102" s="200"/>
      <c r="AG102" s="200"/>
    </row>
    <row r="103" spans="1:33" ht="15" customHeight="1">
      <c r="A103" s="372"/>
      <c r="B103" s="373"/>
      <c r="C103" s="374"/>
      <c r="D103" s="77"/>
      <c r="F103" s="77"/>
      <c r="I103" s="77"/>
      <c r="J103" s="77"/>
      <c r="L103" s="77"/>
      <c r="O103" s="74"/>
      <c r="P103" s="526">
        <f>P102+($P$112-$P$102)/10</f>
        <v>867.96059564244672</v>
      </c>
      <c r="Q103" s="556">
        <f t="shared" ref="Q103:Q111" si="26">R103*P103*PI()/30000</f>
        <v>537.64776850564226</v>
      </c>
      <c r="R103" s="556">
        <f t="shared" si="24"/>
        <v>5915.1971020064593</v>
      </c>
      <c r="S103" s="526">
        <f t="shared" ref="S103:S110" si="27">S102+($S$112-$S$102)/10</f>
        <v>804.84268339304151</v>
      </c>
      <c r="T103" s="556">
        <f t="shared" ref="T103:T111" si="28">U103*S103*PI()/30000</f>
        <v>778.11294209435835</v>
      </c>
      <c r="U103" s="556">
        <f t="shared" si="25"/>
        <v>9232.1535803253009</v>
      </c>
      <c r="V103" s="526">
        <f t="shared" ref="V103:V131" si="29">IF(V102*1.1&gt;MIN($L$13,$D$112),MIN($L$13,$D$112),V102*1.1)</f>
        <v>734.1946380908521</v>
      </c>
      <c r="W103" s="526">
        <f t="shared" si="23"/>
        <v>13.647255807405788</v>
      </c>
      <c r="X103" s="556">
        <f t="shared" ref="X103:X130" si="30">X102*(V102/V103)^(1+$AD$87)</f>
        <v>177.50292159878981</v>
      </c>
      <c r="Y103" s="74"/>
      <c r="Z103" s="74"/>
      <c r="AA103" s="74"/>
      <c r="AB103" s="74"/>
      <c r="AC103" s="74"/>
      <c r="AF103" s="200"/>
      <c r="AG103" s="200"/>
    </row>
    <row r="104" spans="1:33" ht="15" customHeight="1">
      <c r="A104" s="372"/>
      <c r="B104" s="373"/>
      <c r="C104" s="374"/>
      <c r="D104" s="77"/>
      <c r="F104" s="77"/>
      <c r="I104" s="77"/>
      <c r="J104" s="77"/>
      <c r="L104" s="77"/>
      <c r="O104" s="74"/>
      <c r="P104" s="526">
        <f t="shared" ref="P104:P111" si="31">P103+($P$112-$P$102)/10</f>
        <v>907.83119128489329</v>
      </c>
      <c r="Q104" s="556">
        <f t="shared" si="26"/>
        <v>537.64776850564226</v>
      </c>
      <c r="R104" s="556">
        <f t="shared" si="24"/>
        <v>5655.4104433594111</v>
      </c>
      <c r="S104" s="526">
        <f t="shared" si="27"/>
        <v>804.84268339304151</v>
      </c>
      <c r="T104" s="556">
        <f t="shared" si="28"/>
        <v>778.11294209435835</v>
      </c>
      <c r="U104" s="556">
        <f t="shared" si="25"/>
        <v>9232.1535803253009</v>
      </c>
      <c r="V104" s="526">
        <f t="shared" si="29"/>
        <v>807.6141018999374</v>
      </c>
      <c r="W104" s="526">
        <f t="shared" si="23"/>
        <v>12.552896477653706</v>
      </c>
      <c r="X104" s="556">
        <f t="shared" si="30"/>
        <v>148.42649625652237</v>
      </c>
      <c r="Y104" s="74"/>
      <c r="Z104" s="74"/>
      <c r="AA104" s="74"/>
      <c r="AB104" s="74"/>
      <c r="AC104" s="74"/>
      <c r="AF104" s="200"/>
      <c r="AG104" s="200"/>
    </row>
    <row r="105" spans="1:33" ht="15" customHeight="1">
      <c r="A105" s="372"/>
      <c r="B105" s="373"/>
      <c r="C105" s="374"/>
      <c r="D105" s="77"/>
      <c r="F105" s="77"/>
      <c r="I105" s="77"/>
      <c r="J105" s="77"/>
      <c r="L105" s="77"/>
      <c r="O105" s="74"/>
      <c r="P105" s="526">
        <f t="shared" si="31"/>
        <v>947.70178692733987</v>
      </c>
      <c r="Q105" s="556">
        <f t="shared" si="26"/>
        <v>537.64776850564226</v>
      </c>
      <c r="R105" s="556">
        <f t="shared" si="24"/>
        <v>5417.4826626064341</v>
      </c>
      <c r="S105" s="526">
        <f t="shared" si="27"/>
        <v>804.84268339304151</v>
      </c>
      <c r="T105" s="556">
        <f t="shared" si="28"/>
        <v>778.11294209435835</v>
      </c>
      <c r="U105" s="556">
        <f t="shared" si="25"/>
        <v>9232.1535803253009</v>
      </c>
      <c r="V105" s="526">
        <f t="shared" si="29"/>
        <v>888.37551208993125</v>
      </c>
      <c r="W105" s="526">
        <f t="shared" si="23"/>
        <v>11.546292690811979</v>
      </c>
      <c r="X105" s="556">
        <f t="shared" si="30"/>
        <v>124.11302638039311</v>
      </c>
      <c r="Y105" s="74"/>
      <c r="Z105" s="74"/>
      <c r="AA105" s="74"/>
      <c r="AB105" s="74"/>
      <c r="AC105" s="74"/>
      <c r="AF105" s="200"/>
      <c r="AG105" s="200"/>
    </row>
    <row r="106" spans="1:33" ht="15" customHeight="1">
      <c r="A106" s="372"/>
      <c r="B106" s="373"/>
      <c r="C106" s="374"/>
      <c r="D106" s="77"/>
      <c r="F106" s="77"/>
      <c r="I106" s="77"/>
      <c r="J106" s="77"/>
      <c r="L106" s="77"/>
      <c r="N106" s="92"/>
      <c r="O106" s="74"/>
      <c r="P106" s="526">
        <f t="shared" si="31"/>
        <v>987.57238256978644</v>
      </c>
      <c r="Q106" s="556">
        <f t="shared" si="26"/>
        <v>537.64776850564226</v>
      </c>
      <c r="R106" s="556">
        <f t="shared" si="24"/>
        <v>5198.7662784172662</v>
      </c>
      <c r="S106" s="526">
        <f t="shared" si="27"/>
        <v>804.84268339304151</v>
      </c>
      <c r="T106" s="556">
        <f t="shared" si="28"/>
        <v>778.11294209435835</v>
      </c>
      <c r="U106" s="556">
        <f t="shared" si="25"/>
        <v>9232.1535803253009</v>
      </c>
      <c r="V106" s="526">
        <f t="shared" si="29"/>
        <v>977.21306329892445</v>
      </c>
      <c r="W106" s="526">
        <f t="shared" si="23"/>
        <v>10.620407420647894</v>
      </c>
      <c r="X106" s="556">
        <f t="shared" si="30"/>
        <v>103.78230104332368</v>
      </c>
      <c r="Y106" s="74"/>
      <c r="Z106" s="74"/>
      <c r="AA106" s="74"/>
      <c r="AB106" s="74"/>
      <c r="AC106" s="74"/>
      <c r="AF106" s="200"/>
      <c r="AG106" s="200"/>
    </row>
    <row r="107" spans="1:33" ht="15" customHeight="1">
      <c r="A107" s="372"/>
      <c r="B107" s="373"/>
      <c r="C107" s="374"/>
      <c r="D107" s="77"/>
      <c r="F107" s="77"/>
      <c r="I107" s="77"/>
      <c r="J107" s="77"/>
      <c r="L107" s="77"/>
      <c r="N107" s="92"/>
      <c r="O107" s="74"/>
      <c r="P107" s="526">
        <f t="shared" si="31"/>
        <v>1027.4429782122329</v>
      </c>
      <c r="Q107" s="556">
        <f t="shared" si="26"/>
        <v>537.64776850564226</v>
      </c>
      <c r="R107" s="556">
        <f t="shared" si="24"/>
        <v>4997.0247584284607</v>
      </c>
      <c r="S107" s="526">
        <f t="shared" si="27"/>
        <v>804.84268339304151</v>
      </c>
      <c r="T107" s="556">
        <f t="shared" si="28"/>
        <v>778.11294209435835</v>
      </c>
      <c r="U107" s="556">
        <f t="shared" si="25"/>
        <v>9232.1535803253009</v>
      </c>
      <c r="V107" s="526">
        <f t="shared" si="29"/>
        <v>1074.934369628817</v>
      </c>
      <c r="W107" s="526">
        <f t="shared" si="23"/>
        <v>9.7687679327849057</v>
      </c>
      <c r="X107" s="556">
        <f t="shared" si="30"/>
        <v>86.781914227406091</v>
      </c>
      <c r="Y107" s="74"/>
      <c r="Z107" s="74"/>
      <c r="AA107" s="74"/>
      <c r="AB107" s="74"/>
      <c r="AC107" s="74"/>
      <c r="AF107" s="200"/>
      <c r="AG107" s="200"/>
    </row>
    <row r="108" spans="1:33" ht="15" customHeight="1">
      <c r="A108" s="372"/>
      <c r="B108" s="373"/>
      <c r="C108" s="374"/>
      <c r="D108" s="77"/>
      <c r="F108" s="77"/>
      <c r="I108" s="77"/>
      <c r="J108" s="77"/>
      <c r="L108" s="77"/>
      <c r="O108" s="74"/>
      <c r="P108" s="526">
        <f t="shared" si="31"/>
        <v>1067.3135738546794</v>
      </c>
      <c r="Q108" s="556">
        <f t="shared" si="26"/>
        <v>537.64776850564226</v>
      </c>
      <c r="R108" s="556">
        <f t="shared" si="24"/>
        <v>4810.3557621380396</v>
      </c>
      <c r="S108" s="526">
        <f t="shared" si="27"/>
        <v>804.84268339304151</v>
      </c>
      <c r="T108" s="556">
        <f t="shared" si="28"/>
        <v>778.11294209435835</v>
      </c>
      <c r="U108" s="556">
        <f t="shared" si="25"/>
        <v>9232.1535803253009</v>
      </c>
      <c r="V108" s="526">
        <f t="shared" si="29"/>
        <v>1182.4278065916988</v>
      </c>
      <c r="W108" s="526">
        <f t="shared" si="23"/>
        <v>8.9854205347223015</v>
      </c>
      <c r="X108" s="556">
        <f t="shared" si="30"/>
        <v>72.566329338073032</v>
      </c>
      <c r="Y108" s="74"/>
      <c r="Z108" s="74"/>
      <c r="AA108" s="74"/>
      <c r="AB108" s="74"/>
      <c r="AC108" s="74"/>
      <c r="AF108" s="200"/>
      <c r="AG108" s="200"/>
    </row>
    <row r="109" spans="1:33" ht="15" customHeight="1">
      <c r="A109" s="372"/>
      <c r="B109" s="373"/>
      <c r="C109" s="374"/>
      <c r="D109" s="77"/>
      <c r="F109" s="77"/>
      <c r="I109" s="77"/>
      <c r="J109" s="77"/>
      <c r="L109" s="77"/>
      <c r="O109" s="74"/>
      <c r="P109" s="526">
        <f t="shared" si="31"/>
        <v>1107.1841694971258</v>
      </c>
      <c r="Q109" s="556">
        <f t="shared" si="26"/>
        <v>537.64776850564226</v>
      </c>
      <c r="R109" s="556">
        <f t="shared" si="24"/>
        <v>4637.1309683120689</v>
      </c>
      <c r="S109" s="526">
        <f t="shared" si="27"/>
        <v>804.84268339304151</v>
      </c>
      <c r="T109" s="556">
        <f t="shared" si="28"/>
        <v>778.11294209435835</v>
      </c>
      <c r="U109" s="556">
        <f t="shared" si="25"/>
        <v>9232.1535803253009</v>
      </c>
      <c r="V109" s="526">
        <f t="shared" si="29"/>
        <v>1300.6705872508687</v>
      </c>
      <c r="W109" s="526">
        <f t="shared" si="23"/>
        <v>8.2648889544039204</v>
      </c>
      <c r="X109" s="556">
        <f t="shared" si="30"/>
        <v>60.679373121487274</v>
      </c>
      <c r="Y109" s="74"/>
      <c r="Z109" s="74"/>
      <c r="AA109" s="74"/>
      <c r="AB109" s="74"/>
      <c r="AC109" s="74"/>
      <c r="AF109" s="200"/>
      <c r="AG109" s="200"/>
    </row>
    <row r="110" spans="1:33" ht="15" customHeight="1">
      <c r="A110" s="372"/>
      <c r="B110" s="373"/>
      <c r="C110" s="374"/>
      <c r="D110" s="77"/>
      <c r="F110" s="77"/>
      <c r="I110" s="77"/>
      <c r="J110" s="77"/>
      <c r="L110" s="77"/>
      <c r="O110" s="74"/>
      <c r="P110" s="526">
        <f t="shared" si="31"/>
        <v>1147.0547651395723</v>
      </c>
      <c r="Q110" s="556">
        <f t="shared" si="26"/>
        <v>537.64776850564226</v>
      </c>
      <c r="R110" s="556">
        <f t="shared" si="24"/>
        <v>4475.9484516637549</v>
      </c>
      <c r="S110" s="526">
        <f t="shared" si="27"/>
        <v>804.84268339304151</v>
      </c>
      <c r="T110" s="556">
        <f t="shared" si="28"/>
        <v>778.11294209435835</v>
      </c>
      <c r="U110" s="556">
        <f t="shared" si="25"/>
        <v>9232.1535803253009</v>
      </c>
      <c r="V110" s="526">
        <f t="shared" si="29"/>
        <v>1430.7376459759557</v>
      </c>
      <c r="W110" s="526">
        <f t="shared" si="23"/>
        <v>7.6021360563664535</v>
      </c>
      <c r="X110" s="556">
        <f t="shared" si="30"/>
        <v>50.739597220950529</v>
      </c>
      <c r="Y110" s="74"/>
      <c r="Z110" s="74"/>
      <c r="AA110" s="74"/>
      <c r="AB110" s="74"/>
      <c r="AC110" s="74"/>
      <c r="AF110" s="200"/>
      <c r="AG110" s="200"/>
    </row>
    <row r="111" spans="1:33" ht="15" customHeight="1" thickBot="1">
      <c r="A111" s="375"/>
      <c r="B111" s="376"/>
      <c r="C111" s="377"/>
      <c r="D111" s="77"/>
      <c r="F111" s="77"/>
      <c r="I111" s="77"/>
      <c r="J111" s="77"/>
      <c r="L111" s="77"/>
      <c r="O111" s="74"/>
      <c r="P111" s="526">
        <f t="shared" si="31"/>
        <v>1186.9253607820187</v>
      </c>
      <c r="Q111" s="556">
        <f t="shared" si="26"/>
        <v>537.64776850564226</v>
      </c>
      <c r="R111" s="556">
        <f t="shared" si="24"/>
        <v>4325.5946579634165</v>
      </c>
      <c r="S111" s="526">
        <f>S110+($S$112-$S$102)/10</f>
        <v>804.84268339304151</v>
      </c>
      <c r="T111" s="556">
        <f t="shared" si="28"/>
        <v>778.11294209435835</v>
      </c>
      <c r="U111" s="556">
        <f t="shared" si="25"/>
        <v>9232.1535803253009</v>
      </c>
      <c r="V111" s="526">
        <f t="shared" si="29"/>
        <v>1573.8114105735515</v>
      </c>
      <c r="W111" s="526">
        <f t="shared" si="23"/>
        <v>6.9925286278301808</v>
      </c>
      <c r="X111" s="556">
        <f t="shared" si="30"/>
        <v>42.428037629687175</v>
      </c>
      <c r="Y111" s="74"/>
      <c r="Z111" s="74"/>
      <c r="AA111" s="74"/>
      <c r="AB111" s="74"/>
      <c r="AC111" s="74"/>
      <c r="AF111" s="200"/>
      <c r="AG111" s="200"/>
    </row>
    <row r="112" spans="1:33" ht="22.5" customHeight="1" thickBot="1">
      <c r="A112" s="444" t="s">
        <v>225</v>
      </c>
      <c r="B112" s="95" t="s">
        <v>224</v>
      </c>
      <c r="C112" s="367">
        <v>4</v>
      </c>
      <c r="D112" s="200">
        <f>TRUNC(E87*C112,-1)</f>
        <v>3310</v>
      </c>
      <c r="F112" s="77"/>
      <c r="I112" s="77"/>
      <c r="J112" s="77"/>
      <c r="L112" s="77"/>
      <c r="O112" s="74"/>
      <c r="P112" s="526">
        <f>IF(G87&gt;E87*C112,E87*C112,G87)</f>
        <v>1226.7959564244654</v>
      </c>
      <c r="Q112" s="556">
        <f>R112*P112*PI()/30000</f>
        <v>537.64776850564226</v>
      </c>
      <c r="R112" s="556">
        <f>R106*P106/P112</f>
        <v>4185.013793951247</v>
      </c>
      <c r="S112" s="526">
        <f>M87</f>
        <v>804.84268339304151</v>
      </c>
      <c r="T112" s="556">
        <f>U112*S112*PI()/30000</f>
        <v>778.11294209435835</v>
      </c>
      <c r="U112" s="556">
        <f>U106*S106/S112</f>
        <v>9232.1535803253009</v>
      </c>
      <c r="V112" s="526">
        <f t="shared" si="29"/>
        <v>1731.1925516309068</v>
      </c>
      <c r="W112" s="526">
        <f t="shared" si="23"/>
        <v>6.4318049885567197</v>
      </c>
      <c r="X112" s="556">
        <f t="shared" si="30"/>
        <v>35.477979245031712</v>
      </c>
      <c r="Y112" s="74"/>
      <c r="Z112" s="74">
        <v>4000</v>
      </c>
      <c r="AA112" s="74"/>
      <c r="AB112" s="74"/>
      <c r="AC112" s="74"/>
      <c r="AD112" s="74"/>
      <c r="AE112" s="74"/>
      <c r="AF112" s="74"/>
      <c r="AG112" s="74"/>
    </row>
    <row r="113" spans="1:33" ht="15" customHeight="1">
      <c r="A113" s="715" t="s">
        <v>108</v>
      </c>
      <c r="B113" s="716"/>
      <c r="C113" s="717"/>
      <c r="D113" s="77"/>
      <c r="F113" s="77"/>
      <c r="I113" s="77"/>
      <c r="J113" s="77"/>
      <c r="L113" s="77"/>
      <c r="O113" s="74"/>
      <c r="P113" s="526">
        <f>P112</f>
        <v>1226.7959564244654</v>
      </c>
      <c r="Q113" s="556">
        <f>R113*P113*PI()/30000</f>
        <v>537.64776850564226</v>
      </c>
      <c r="R113" s="556">
        <f>R112*(P112/P113)^2</f>
        <v>4185.013793951247</v>
      </c>
      <c r="S113" s="526">
        <f>S112</f>
        <v>804.84268339304151</v>
      </c>
      <c r="T113" s="556">
        <f>U113*S113*PI()/30000</f>
        <v>778.11294209435835</v>
      </c>
      <c r="U113" s="556">
        <f>U112</f>
        <v>9232.1535803253009</v>
      </c>
      <c r="V113" s="526">
        <f t="shared" si="29"/>
        <v>1904.3118067939977</v>
      </c>
      <c r="W113" s="526">
        <f t="shared" si="23"/>
        <v>5.9160451980387307</v>
      </c>
      <c r="X113" s="556">
        <f t="shared" si="30"/>
        <v>29.66639707206701</v>
      </c>
      <c r="Y113" s="74"/>
      <c r="Z113" s="74"/>
      <c r="AA113" s="74"/>
      <c r="AB113" s="74"/>
      <c r="AC113" s="74"/>
      <c r="AF113" s="200"/>
      <c r="AG113" s="200"/>
    </row>
    <row r="114" spans="1:33" ht="15" customHeight="1" thickBot="1">
      <c r="A114" s="718"/>
      <c r="B114" s="719"/>
      <c r="C114" s="720"/>
      <c r="D114" s="77"/>
      <c r="F114" s="77"/>
      <c r="I114" s="77"/>
      <c r="J114" s="77"/>
      <c r="L114" s="77"/>
      <c r="O114" s="74"/>
      <c r="P114" s="526">
        <f t="shared" ref="P114:P131" si="32">IF(P113*1.1&gt;MIN($L$13,$D$112),MIN($L$13,$D$112),P113*1.1)</f>
        <v>1349.4755520669121</v>
      </c>
      <c r="Q114" s="556">
        <f>R114*P114*PI()/30000</f>
        <v>494.53434996290144</v>
      </c>
      <c r="R114" s="556">
        <f t="shared" ref="R114:R130" si="33">R113*(P113/P114)^(1+$AD$87)</f>
        <v>3499.4744234431487</v>
      </c>
      <c r="S114" s="526">
        <f t="shared" ref="S114:S131" si="34">IF(S113*1.1&gt;MIN($L$13,$D$112),MIN($L$13,$D$112),S113*1.1)</f>
        <v>885.32695173234572</v>
      </c>
      <c r="T114" s="556">
        <f t="shared" ref="T114:T131" si="35">U114*S114*PI()/30000</f>
        <v>715.71686996096207</v>
      </c>
      <c r="U114" s="556">
        <f t="shared" ref="U114:U130" si="36">U113*(S113/S114)^(1+$AD$87)</f>
        <v>7719.851574764929</v>
      </c>
      <c r="V114" s="526">
        <f t="shared" si="29"/>
        <v>2094.7429874733975</v>
      </c>
      <c r="W114" s="526">
        <f t="shared" si="23"/>
        <v>5.4416436517443207</v>
      </c>
      <c r="X114" s="556">
        <f t="shared" si="30"/>
        <v>24.80679942786746</v>
      </c>
      <c r="Y114" s="74"/>
      <c r="Z114" s="74"/>
      <c r="AA114" s="74"/>
      <c r="AB114" s="74"/>
      <c r="AC114" s="74"/>
      <c r="AF114" s="200"/>
      <c r="AG114" s="200"/>
    </row>
    <row r="115" spans="1:33" ht="15" customHeight="1" thickBot="1">
      <c r="A115" s="368" t="s">
        <v>82</v>
      </c>
      <c r="B115" s="368" t="s">
        <v>118</v>
      </c>
      <c r="C115" s="368" t="s">
        <v>119</v>
      </c>
      <c r="D115" s="77"/>
      <c r="F115" s="77"/>
      <c r="I115" s="77"/>
      <c r="J115" s="77"/>
      <c r="L115" s="77"/>
      <c r="O115" s="74"/>
      <c r="P115" s="526">
        <f t="shared" si="32"/>
        <v>1484.4231072736034</v>
      </c>
      <c r="Q115" s="556">
        <f t="shared" ref="Q115:Q131" si="37">R115*P115*PI()/30000</f>
        <v>454.87815186693734</v>
      </c>
      <c r="R115" s="556">
        <f t="shared" si="33"/>
        <v>2926.2319894937536</v>
      </c>
      <c r="S115" s="526">
        <f t="shared" si="34"/>
        <v>973.85964690558035</v>
      </c>
      <c r="T115" s="556">
        <f t="shared" si="35"/>
        <v>658.32427432443149</v>
      </c>
      <c r="U115" s="556">
        <f t="shared" si="36"/>
        <v>6455.27696413177</v>
      </c>
      <c r="V115" s="526">
        <f t="shared" si="29"/>
        <v>2304.2172862207376</v>
      </c>
      <c r="W115" s="526">
        <f t="shared" si="23"/>
        <v>5.0052838748402344</v>
      </c>
      <c r="X115" s="556">
        <f t="shared" si="30"/>
        <v>20.743243487220294</v>
      </c>
      <c r="Y115" s="74"/>
      <c r="Z115" s="74"/>
      <c r="AA115" s="74"/>
      <c r="AB115" s="74"/>
      <c r="AC115" s="74"/>
      <c r="AF115" s="200"/>
      <c r="AG115" s="200"/>
    </row>
    <row r="116" spans="1:33" ht="15" customHeight="1">
      <c r="A116" s="369"/>
      <c r="B116" s="378"/>
      <c r="C116" s="379"/>
      <c r="D116" s="77"/>
      <c r="F116" s="77"/>
      <c r="I116" s="77"/>
      <c r="J116" s="77"/>
      <c r="L116" s="77"/>
      <c r="O116" s="74"/>
      <c r="P116" s="526">
        <f t="shared" si="32"/>
        <v>1632.8654180009639</v>
      </c>
      <c r="Q116" s="556">
        <f t="shared" si="37"/>
        <v>418.40194328544123</v>
      </c>
      <c r="R116" s="556">
        <f t="shared" si="33"/>
        <v>2446.8913385889409</v>
      </c>
      <c r="S116" s="526">
        <f t="shared" si="34"/>
        <v>1071.2456115961384</v>
      </c>
      <c r="T116" s="556">
        <f t="shared" si="35"/>
        <v>605.53393157887706</v>
      </c>
      <c r="U116" s="556">
        <f t="shared" si="36"/>
        <v>5397.8499819692652</v>
      </c>
      <c r="V116" s="526">
        <f t="shared" si="29"/>
        <v>2534.6390148428118</v>
      </c>
      <c r="W116" s="526">
        <f t="shared" si="23"/>
        <v>4.6039153371803323</v>
      </c>
      <c r="X116" s="556">
        <f t="shared" si="30"/>
        <v>17.345331130735744</v>
      </c>
      <c r="Y116" s="74"/>
      <c r="Z116" s="74"/>
      <c r="AA116" s="74"/>
      <c r="AB116" s="74"/>
      <c r="AC116" s="74"/>
      <c r="AF116" s="200"/>
      <c r="AG116" s="200"/>
    </row>
    <row r="117" spans="1:33" ht="15" customHeight="1">
      <c r="A117" s="372"/>
      <c r="B117" s="380"/>
      <c r="C117" s="381"/>
      <c r="D117" s="77"/>
      <c r="F117" s="77"/>
      <c r="I117" s="77"/>
      <c r="J117" s="77"/>
      <c r="L117" s="77"/>
      <c r="O117" s="74"/>
      <c r="P117" s="526">
        <f t="shared" si="32"/>
        <v>1796.1519598010605</v>
      </c>
      <c r="Q117" s="556">
        <f t="shared" si="37"/>
        <v>384.85072414786555</v>
      </c>
      <c r="R117" s="556">
        <f t="shared" si="33"/>
        <v>2046.0705932947567</v>
      </c>
      <c r="S117" s="526">
        <f t="shared" si="34"/>
        <v>1178.3701727557523</v>
      </c>
      <c r="T117" s="556">
        <f t="shared" si="35"/>
        <v>556.97679182443665</v>
      </c>
      <c r="U117" s="556">
        <f t="shared" si="36"/>
        <v>4513.6381583225339</v>
      </c>
      <c r="V117" s="526">
        <f t="shared" si="29"/>
        <v>2788.1029163270932</v>
      </c>
      <c r="W117" s="526">
        <f t="shared" si="23"/>
        <v>4.2347321274761587</v>
      </c>
      <c r="X117" s="556">
        <f t="shared" si="30"/>
        <v>14.504024513824355</v>
      </c>
      <c r="Y117" s="74"/>
      <c r="Z117" s="74"/>
      <c r="AA117" s="74"/>
      <c r="AB117" s="74"/>
      <c r="AC117" s="74"/>
      <c r="AF117" s="200"/>
      <c r="AG117" s="200"/>
    </row>
    <row r="118" spans="1:33" ht="15" customHeight="1">
      <c r="A118" s="372"/>
      <c r="B118" s="380"/>
      <c r="C118" s="381"/>
      <c r="D118" s="77"/>
      <c r="F118" s="77"/>
      <c r="I118" s="77"/>
      <c r="J118" s="77"/>
      <c r="L118" s="77"/>
      <c r="O118" s="74"/>
      <c r="P118" s="526">
        <f t="shared" si="32"/>
        <v>1975.7671557811666</v>
      </c>
      <c r="Q118" s="556">
        <f t="shared" si="37"/>
        <v>353.98994257560895</v>
      </c>
      <c r="R118" s="556">
        <f t="shared" si="33"/>
        <v>1710.907553074976</v>
      </c>
      <c r="S118" s="526">
        <f t="shared" si="34"/>
        <v>1296.2071900313276</v>
      </c>
      <c r="T118" s="556">
        <f t="shared" si="35"/>
        <v>512.31339889106107</v>
      </c>
      <c r="U118" s="556">
        <f t="shared" si="36"/>
        <v>3774.2674383908488</v>
      </c>
      <c r="V118" s="526">
        <f t="shared" si="29"/>
        <v>3066.913207959803</v>
      </c>
      <c r="W118" s="526">
        <f t="shared" si="23"/>
        <v>3.8951533375637153</v>
      </c>
      <c r="X118" s="556">
        <f t="shared" si="30"/>
        <v>12.128147079582135</v>
      </c>
      <c r="Y118" s="74"/>
      <c r="Z118" s="74"/>
      <c r="AA118" s="74"/>
      <c r="AB118" s="74"/>
      <c r="AC118" s="74"/>
      <c r="AF118" s="200"/>
      <c r="AG118" s="200"/>
    </row>
    <row r="119" spans="1:33" ht="15" customHeight="1">
      <c r="A119" s="372"/>
      <c r="B119" s="380"/>
      <c r="C119" s="381"/>
      <c r="D119" s="77"/>
      <c r="F119" s="77"/>
      <c r="I119" s="77"/>
      <c r="J119" s="77"/>
      <c r="L119" s="77"/>
      <c r="O119" s="74"/>
      <c r="P119" s="526">
        <f t="shared" si="32"/>
        <v>2173.3438713592836</v>
      </c>
      <c r="Q119" s="556">
        <f t="shared" si="37"/>
        <v>325.60385516265086</v>
      </c>
      <c r="R119" s="556">
        <f t="shared" si="33"/>
        <v>1430.6469506779665</v>
      </c>
      <c r="S119" s="526">
        <f t="shared" si="34"/>
        <v>1425.8279090344606</v>
      </c>
      <c r="T119" s="556">
        <f t="shared" si="35"/>
        <v>471.23151724792615</v>
      </c>
      <c r="U119" s="556">
        <f t="shared" si="36"/>
        <v>3156.0116688200642</v>
      </c>
      <c r="V119" s="526">
        <f t="shared" si="29"/>
        <v>3310</v>
      </c>
      <c r="W119" s="526">
        <f t="shared" si="23"/>
        <v>3.6431127423701404</v>
      </c>
      <c r="X119" s="556">
        <f t="shared" si="30"/>
        <v>10.510321471708975</v>
      </c>
      <c r="Y119" s="74"/>
      <c r="Z119" s="74"/>
      <c r="AA119" s="74"/>
      <c r="AB119" s="74"/>
      <c r="AC119" s="74"/>
      <c r="AF119" s="200"/>
      <c r="AG119" s="200"/>
    </row>
    <row r="120" spans="1:33" ht="15" customHeight="1">
      <c r="A120" s="372"/>
      <c r="B120" s="380"/>
      <c r="C120" s="381"/>
      <c r="D120" s="77"/>
      <c r="F120" s="77"/>
      <c r="I120" s="77"/>
      <c r="J120" s="77"/>
      <c r="L120" s="77"/>
      <c r="O120" s="74"/>
      <c r="P120" s="526">
        <f t="shared" si="32"/>
        <v>2390.678258495212</v>
      </c>
      <c r="Q120" s="556">
        <f t="shared" si="37"/>
        <v>299.49401874358642</v>
      </c>
      <c r="R120" s="556">
        <f t="shared" si="33"/>
        <v>1196.2953192915566</v>
      </c>
      <c r="S120" s="526">
        <f t="shared" si="34"/>
        <v>1568.4106999379069</v>
      </c>
      <c r="T120" s="556">
        <f t="shared" si="35"/>
        <v>433.44394920852216</v>
      </c>
      <c r="U120" s="556">
        <f t="shared" si="36"/>
        <v>2639.0312335617123</v>
      </c>
      <c r="V120" s="526">
        <f t="shared" si="29"/>
        <v>3310</v>
      </c>
      <c r="W120" s="526">
        <f t="shared" si="23"/>
        <v>3.6431127423701404</v>
      </c>
      <c r="X120" s="556">
        <f t="shared" si="30"/>
        <v>10.510321471708975</v>
      </c>
      <c r="Y120" s="74"/>
      <c r="Z120" s="74"/>
      <c r="AA120" s="74"/>
      <c r="AB120" s="74"/>
      <c r="AC120" s="74"/>
      <c r="AF120" s="200"/>
      <c r="AG120" s="200"/>
    </row>
    <row r="121" spans="1:33" ht="15" customHeight="1">
      <c r="A121" s="372"/>
      <c r="B121" s="380"/>
      <c r="C121" s="381"/>
      <c r="D121" s="77"/>
      <c r="F121" s="77"/>
      <c r="I121" s="77"/>
      <c r="J121" s="77"/>
      <c r="L121" s="77"/>
      <c r="O121" s="74"/>
      <c r="P121" s="526">
        <f t="shared" si="32"/>
        <v>2629.7460843447334</v>
      </c>
      <c r="Q121" s="556">
        <f t="shared" si="37"/>
        <v>275.47790310522271</v>
      </c>
      <c r="R121" s="556">
        <f t="shared" si="33"/>
        <v>1000.3323952710314</v>
      </c>
      <c r="S121" s="526">
        <f t="shared" si="34"/>
        <v>1725.2517699316977</v>
      </c>
      <c r="T121" s="556">
        <f t="shared" si="35"/>
        <v>398.686527171813</v>
      </c>
      <c r="U121" s="556">
        <f t="shared" si="36"/>
        <v>2206.7364073840899</v>
      </c>
      <c r="V121" s="526">
        <f t="shared" si="29"/>
        <v>3310</v>
      </c>
      <c r="W121" s="526">
        <f t="shared" si="23"/>
        <v>3.6431127423701404</v>
      </c>
      <c r="X121" s="556">
        <f t="shared" si="30"/>
        <v>10.510321471708975</v>
      </c>
      <c r="Y121" s="74"/>
      <c r="Z121" s="74"/>
      <c r="AA121" s="74"/>
      <c r="AB121" s="74"/>
      <c r="AC121" s="74"/>
      <c r="AF121" s="200"/>
      <c r="AG121" s="200"/>
    </row>
    <row r="122" spans="1:33" ht="15" customHeight="1">
      <c r="A122" s="372"/>
      <c r="B122" s="380"/>
      <c r="C122" s="381"/>
      <c r="D122" s="77"/>
      <c r="F122" s="77"/>
      <c r="I122" s="77"/>
      <c r="J122" s="77"/>
      <c r="L122" s="77"/>
      <c r="O122" s="74"/>
      <c r="P122" s="526">
        <f t="shared" si="32"/>
        <v>2892.7206927792072</v>
      </c>
      <c r="Q122" s="556">
        <f t="shared" si="37"/>
        <v>253.38761494339724</v>
      </c>
      <c r="R122" s="556">
        <f t="shared" si="33"/>
        <v>836.46979545257295</v>
      </c>
      <c r="S122" s="526">
        <f t="shared" si="34"/>
        <v>1897.7769469248676</v>
      </c>
      <c r="T122" s="556">
        <f t="shared" si="35"/>
        <v>366.71626686349776</v>
      </c>
      <c r="U122" s="556">
        <f t="shared" si="36"/>
        <v>1845.2549972673771</v>
      </c>
      <c r="V122" s="526">
        <f t="shared" si="29"/>
        <v>3310</v>
      </c>
      <c r="W122" s="526">
        <f t="shared" si="23"/>
        <v>3.6431127423701404</v>
      </c>
      <c r="X122" s="556">
        <f t="shared" si="30"/>
        <v>10.510321471708975</v>
      </c>
      <c r="Y122" s="74"/>
      <c r="Z122" s="74"/>
      <c r="AA122" s="74"/>
      <c r="AB122" s="74"/>
      <c r="AC122" s="74"/>
      <c r="AF122" s="200"/>
      <c r="AG122" s="200"/>
    </row>
    <row r="123" spans="1:33" ht="15" customHeight="1">
      <c r="A123" s="372"/>
      <c r="B123" s="380"/>
      <c r="C123" s="381"/>
      <c r="D123" s="77"/>
      <c r="F123" s="77"/>
      <c r="I123" s="77"/>
      <c r="J123" s="77"/>
      <c r="L123" s="77"/>
      <c r="O123" s="74"/>
      <c r="P123" s="526">
        <f t="shared" si="32"/>
        <v>3181.9927620571279</v>
      </c>
      <c r="Q123" s="556">
        <f t="shared" si="37"/>
        <v>233.06872414437979</v>
      </c>
      <c r="R123" s="556">
        <f t="shared" si="33"/>
        <v>699.44922508972297</v>
      </c>
      <c r="S123" s="526">
        <f t="shared" si="34"/>
        <v>2087.5546416173547</v>
      </c>
      <c r="T123" s="556">
        <f t="shared" si="35"/>
        <v>337.30966866694729</v>
      </c>
      <c r="U123" s="556">
        <f t="shared" si="36"/>
        <v>1542.987188477369</v>
      </c>
      <c r="V123" s="526">
        <f t="shared" si="29"/>
        <v>3310</v>
      </c>
      <c r="W123" s="526">
        <f t="shared" si="23"/>
        <v>3.6431127423701404</v>
      </c>
      <c r="X123" s="556">
        <f t="shared" si="30"/>
        <v>10.510321471708975</v>
      </c>
      <c r="Y123" s="74"/>
      <c r="Z123" s="74"/>
      <c r="AA123" s="74"/>
      <c r="AB123" s="74"/>
      <c r="AC123" s="74"/>
      <c r="AF123" s="200"/>
      <c r="AG123" s="200"/>
    </row>
    <row r="124" spans="1:33" ht="15" customHeight="1">
      <c r="A124" s="372"/>
      <c r="B124" s="380"/>
      <c r="C124" s="381"/>
      <c r="D124" s="77"/>
      <c r="F124" s="77"/>
      <c r="I124" s="77"/>
      <c r="J124" s="77"/>
      <c r="L124" s="77"/>
      <c r="O124" s="74"/>
      <c r="P124" s="526">
        <f t="shared" si="32"/>
        <v>3310</v>
      </c>
      <c r="Q124" s="556">
        <f t="shared" si="37"/>
        <v>225.14485950300184</v>
      </c>
      <c r="R124" s="556">
        <f t="shared" si="33"/>
        <v>649.53928643443555</v>
      </c>
      <c r="S124" s="526">
        <f t="shared" si="34"/>
        <v>2296.3101057790905</v>
      </c>
      <c r="T124" s="556">
        <f t="shared" si="35"/>
        <v>310.26115516865548</v>
      </c>
      <c r="U124" s="556">
        <f t="shared" si="36"/>
        <v>1290.2333104806746</v>
      </c>
      <c r="V124" s="526">
        <f t="shared" si="29"/>
        <v>3310</v>
      </c>
      <c r="W124" s="526">
        <f t="shared" si="23"/>
        <v>3.6431127423701404</v>
      </c>
      <c r="X124" s="556">
        <f t="shared" si="30"/>
        <v>10.510321471708975</v>
      </c>
      <c r="Y124" s="74"/>
      <c r="Z124" s="74"/>
      <c r="AA124" s="74"/>
      <c r="AB124" s="74"/>
      <c r="AC124" s="74"/>
      <c r="AF124" s="200"/>
      <c r="AG124" s="200"/>
    </row>
    <row r="125" spans="1:33" ht="15" customHeight="1">
      <c r="A125" s="372"/>
      <c r="B125" s="380"/>
      <c r="C125" s="381"/>
      <c r="D125" s="77"/>
      <c r="F125" s="77"/>
      <c r="I125" s="77"/>
      <c r="J125" s="77"/>
      <c r="L125" s="77"/>
      <c r="O125" s="74"/>
      <c r="P125" s="526">
        <f t="shared" si="32"/>
        <v>3310</v>
      </c>
      <c r="Q125" s="556">
        <f t="shared" si="37"/>
        <v>225.14485950300184</v>
      </c>
      <c r="R125" s="556">
        <f t="shared" si="33"/>
        <v>649.53928643443555</v>
      </c>
      <c r="S125" s="526">
        <f t="shared" si="34"/>
        <v>2525.9411163569998</v>
      </c>
      <c r="T125" s="556">
        <f t="shared" si="35"/>
        <v>285.38163399530538</v>
      </c>
      <c r="U125" s="556">
        <f t="shared" si="36"/>
        <v>1078.8825778369946</v>
      </c>
      <c r="V125" s="526">
        <f t="shared" si="29"/>
        <v>3310</v>
      </c>
      <c r="W125" s="526">
        <f t="shared" si="23"/>
        <v>3.6431127423701404</v>
      </c>
      <c r="X125" s="556">
        <f t="shared" si="30"/>
        <v>10.510321471708975</v>
      </c>
      <c r="Y125" s="74"/>
      <c r="Z125" s="74"/>
      <c r="AA125" s="74"/>
      <c r="AB125" s="74"/>
      <c r="AC125" s="74"/>
      <c r="AF125" s="200"/>
      <c r="AG125" s="200"/>
    </row>
    <row r="126" spans="1:33" ht="15" customHeight="1">
      <c r="A126" s="372"/>
      <c r="B126" s="380"/>
      <c r="C126" s="381"/>
      <c r="D126" s="77"/>
      <c r="F126" s="77"/>
      <c r="I126" s="77"/>
      <c r="J126" s="77"/>
      <c r="L126" s="77"/>
      <c r="O126" s="74"/>
      <c r="P126" s="526">
        <f t="shared" si="32"/>
        <v>3310</v>
      </c>
      <c r="Q126" s="556">
        <f t="shared" si="37"/>
        <v>225.14485950300184</v>
      </c>
      <c r="R126" s="556">
        <f t="shared" si="33"/>
        <v>649.53928643443555</v>
      </c>
      <c r="S126" s="526">
        <f t="shared" si="34"/>
        <v>2778.5352279927001</v>
      </c>
      <c r="T126" s="556">
        <f t="shared" si="35"/>
        <v>262.4971758954448</v>
      </c>
      <c r="U126" s="556">
        <f t="shared" si="36"/>
        <v>902.15281787024776</v>
      </c>
      <c r="V126" s="526">
        <f t="shared" si="29"/>
        <v>3310</v>
      </c>
      <c r="W126" s="526">
        <f t="shared" si="23"/>
        <v>3.6431127423701404</v>
      </c>
      <c r="X126" s="556">
        <f t="shared" si="30"/>
        <v>10.510321471708975</v>
      </c>
      <c r="Y126" s="74"/>
      <c r="Z126" s="74"/>
      <c r="AA126" s="74"/>
      <c r="AB126" s="74"/>
      <c r="AC126" s="74"/>
      <c r="AF126" s="200"/>
      <c r="AG126" s="200"/>
    </row>
    <row r="127" spans="1:33" ht="15" customHeight="1">
      <c r="A127" s="372"/>
      <c r="B127" s="380"/>
      <c r="C127" s="381"/>
      <c r="D127" s="77"/>
      <c r="F127" s="77"/>
      <c r="I127" s="77"/>
      <c r="J127" s="77"/>
      <c r="L127" s="77"/>
      <c r="O127" s="74"/>
      <c r="P127" s="526">
        <f t="shared" si="32"/>
        <v>3310</v>
      </c>
      <c r="Q127" s="556">
        <f t="shared" si="37"/>
        <v>225.14485950300184</v>
      </c>
      <c r="R127" s="556">
        <f t="shared" si="33"/>
        <v>649.53928643443555</v>
      </c>
      <c r="S127" s="526">
        <f t="shared" si="34"/>
        <v>3056.3887507919703</v>
      </c>
      <c r="T127" s="556">
        <f t="shared" si="35"/>
        <v>241.44779882442475</v>
      </c>
      <c r="U127" s="556">
        <f t="shared" si="36"/>
        <v>754.37283306858205</v>
      </c>
      <c r="V127" s="526">
        <f t="shared" si="29"/>
        <v>3310</v>
      </c>
      <c r="W127" s="526">
        <f t="shared" si="23"/>
        <v>3.6431127423701404</v>
      </c>
      <c r="X127" s="556">
        <f t="shared" si="30"/>
        <v>10.510321471708975</v>
      </c>
      <c r="Y127" s="74"/>
      <c r="Z127" s="74"/>
      <c r="AA127" s="74"/>
      <c r="AB127" s="74"/>
      <c r="AC127" s="74"/>
      <c r="AF127" s="200"/>
      <c r="AG127" s="200"/>
    </row>
    <row r="128" spans="1:33" ht="15" customHeight="1">
      <c r="A128" s="372"/>
      <c r="B128" s="380"/>
      <c r="C128" s="381"/>
      <c r="D128" s="77"/>
      <c r="F128" s="77"/>
      <c r="I128" s="77"/>
      <c r="J128" s="77"/>
      <c r="L128" s="77"/>
      <c r="O128" s="74"/>
      <c r="P128" s="526">
        <f t="shared" si="32"/>
        <v>3310</v>
      </c>
      <c r="Q128" s="556">
        <f t="shared" si="37"/>
        <v>225.14485950300184</v>
      </c>
      <c r="R128" s="556">
        <f t="shared" si="33"/>
        <v>649.53928643443555</v>
      </c>
      <c r="S128" s="526">
        <f t="shared" si="34"/>
        <v>3310</v>
      </c>
      <c r="T128" s="556">
        <f t="shared" si="35"/>
        <v>225.14485950300184</v>
      </c>
      <c r="U128" s="556">
        <f t="shared" si="36"/>
        <v>649.53928643443567</v>
      </c>
      <c r="V128" s="526">
        <f t="shared" si="29"/>
        <v>3310</v>
      </c>
      <c r="W128" s="526">
        <f t="shared" si="23"/>
        <v>3.6431127423701404</v>
      </c>
      <c r="X128" s="556">
        <f t="shared" si="30"/>
        <v>10.510321471708975</v>
      </c>
      <c r="Y128" s="74"/>
      <c r="Z128" s="74"/>
      <c r="AA128" s="74"/>
      <c r="AB128" s="74"/>
      <c r="AC128" s="74"/>
      <c r="AF128" s="200"/>
      <c r="AG128" s="200"/>
    </row>
    <row r="129" spans="1:57" ht="15" customHeight="1">
      <c r="A129" s="372"/>
      <c r="B129" s="380"/>
      <c r="C129" s="381"/>
      <c r="D129" s="77"/>
      <c r="F129" s="77"/>
      <c r="I129" s="77"/>
      <c r="J129" s="77"/>
      <c r="L129" s="77"/>
      <c r="O129" s="74"/>
      <c r="P129" s="526">
        <f t="shared" si="32"/>
        <v>3310</v>
      </c>
      <c r="Q129" s="556">
        <f t="shared" si="37"/>
        <v>225.14485950300184</v>
      </c>
      <c r="R129" s="556">
        <f t="shared" si="33"/>
        <v>649.53928643443555</v>
      </c>
      <c r="S129" s="526">
        <f t="shared" si="34"/>
        <v>3310</v>
      </c>
      <c r="T129" s="556">
        <f t="shared" si="35"/>
        <v>225.14485950300184</v>
      </c>
      <c r="U129" s="556">
        <f t="shared" si="36"/>
        <v>649.53928643443567</v>
      </c>
      <c r="V129" s="526">
        <f t="shared" si="29"/>
        <v>3310</v>
      </c>
      <c r="W129" s="526">
        <f t="shared" si="23"/>
        <v>3.6431127423701404</v>
      </c>
      <c r="X129" s="556">
        <f t="shared" si="30"/>
        <v>10.510321471708975</v>
      </c>
      <c r="Y129" s="74"/>
      <c r="Z129" s="74"/>
      <c r="AA129" s="74"/>
      <c r="AB129" s="74"/>
      <c r="AC129" s="74"/>
      <c r="AF129" s="200"/>
      <c r="AG129" s="200"/>
    </row>
    <row r="130" spans="1:57" ht="15" customHeight="1">
      <c r="A130" s="372"/>
      <c r="B130" s="380"/>
      <c r="C130" s="381"/>
      <c r="D130" s="77"/>
      <c r="F130" s="77"/>
      <c r="I130" s="77"/>
      <c r="J130" s="77"/>
      <c r="L130" s="77"/>
      <c r="O130" s="74"/>
      <c r="P130" s="526">
        <f t="shared" si="32"/>
        <v>3310</v>
      </c>
      <c r="Q130" s="556">
        <f t="shared" si="37"/>
        <v>225.14485950300184</v>
      </c>
      <c r="R130" s="556">
        <f t="shared" si="33"/>
        <v>649.53928643443555</v>
      </c>
      <c r="S130" s="526">
        <f t="shared" si="34"/>
        <v>3310</v>
      </c>
      <c r="T130" s="556">
        <f t="shared" si="35"/>
        <v>225.14485950300184</v>
      </c>
      <c r="U130" s="556">
        <f t="shared" si="36"/>
        <v>649.53928643443567</v>
      </c>
      <c r="V130" s="526">
        <f t="shared" si="29"/>
        <v>3310</v>
      </c>
      <c r="W130" s="526">
        <f t="shared" si="23"/>
        <v>3.6431127423701404</v>
      </c>
      <c r="X130" s="556">
        <f t="shared" si="30"/>
        <v>10.510321471708975</v>
      </c>
      <c r="Y130" s="74"/>
      <c r="Z130" s="74"/>
      <c r="AA130" s="74"/>
      <c r="AB130" s="74"/>
      <c r="AC130" s="74"/>
      <c r="AF130" s="200"/>
      <c r="AG130" s="200"/>
    </row>
    <row r="131" spans="1:57" ht="15" customHeight="1">
      <c r="A131" s="372"/>
      <c r="B131" s="380"/>
      <c r="C131" s="381"/>
      <c r="D131" s="77"/>
      <c r="F131" s="77"/>
      <c r="I131" s="77"/>
      <c r="J131" s="77"/>
      <c r="L131" s="77"/>
      <c r="O131" s="74"/>
      <c r="P131" s="526">
        <f t="shared" si="32"/>
        <v>3310</v>
      </c>
      <c r="Q131" s="556">
        <f t="shared" si="37"/>
        <v>225.14485950300184</v>
      </c>
      <c r="R131" s="556">
        <f>R130*(P130/P131)^(1+$AD$87)</f>
        <v>649.53928643443555</v>
      </c>
      <c r="S131" s="526">
        <f t="shared" si="34"/>
        <v>3310</v>
      </c>
      <c r="T131" s="556">
        <f t="shared" si="35"/>
        <v>225.14485950300184</v>
      </c>
      <c r="U131" s="556">
        <f>U130*(S130/S131)^(1+$AD$87)</f>
        <v>649.53928643443567</v>
      </c>
      <c r="V131" s="526">
        <f t="shared" si="29"/>
        <v>3310</v>
      </c>
      <c r="W131" s="526">
        <f t="shared" si="23"/>
        <v>3.6431127423701404</v>
      </c>
      <c r="X131" s="556">
        <f>X130*(V130/V131)^(1+$AD$87)</f>
        <v>10.510321471708975</v>
      </c>
      <c r="Y131" s="74"/>
      <c r="Z131" s="74"/>
      <c r="AA131" s="74"/>
      <c r="AB131" s="74"/>
      <c r="AC131" s="74"/>
      <c r="AF131" s="200"/>
      <c r="AG131" s="200"/>
    </row>
    <row r="132" spans="1:57" ht="15" customHeight="1">
      <c r="A132" s="372"/>
      <c r="B132" s="380"/>
      <c r="C132" s="381"/>
      <c r="D132" s="77"/>
      <c r="F132" s="77"/>
      <c r="I132" s="77"/>
      <c r="J132" s="77"/>
      <c r="L132" s="77"/>
      <c r="O132" s="74"/>
      <c r="P132" s="526"/>
      <c r="Q132" s="556"/>
      <c r="R132" s="556"/>
      <c r="S132" s="556"/>
      <c r="T132" s="556"/>
      <c r="U132" s="526"/>
      <c r="V132" s="526"/>
      <c r="W132" s="74"/>
      <c r="X132" s="74"/>
      <c r="Y132" s="74"/>
      <c r="Z132" s="74"/>
      <c r="AA132" s="74"/>
      <c r="AB132" s="74"/>
      <c r="AC132" s="74"/>
      <c r="AF132" s="200"/>
      <c r="AG132" s="200"/>
    </row>
    <row r="133" spans="1:57" ht="15" customHeight="1">
      <c r="A133" s="372"/>
      <c r="B133" s="380"/>
      <c r="C133" s="381"/>
      <c r="D133" s="77"/>
      <c r="F133" s="77"/>
      <c r="I133" s="77"/>
      <c r="J133" s="77"/>
      <c r="L133" s="77"/>
      <c r="O133" s="74"/>
      <c r="P133" s="526"/>
      <c r="Q133" s="556"/>
      <c r="R133" s="556"/>
      <c r="S133" s="556"/>
      <c r="T133" s="556"/>
      <c r="U133" s="526"/>
      <c r="V133" s="526"/>
      <c r="W133" s="74"/>
      <c r="X133" s="74"/>
      <c r="Y133" s="74"/>
      <c r="Z133" s="74"/>
      <c r="AA133" s="74"/>
      <c r="AB133" s="74"/>
      <c r="AC133" s="74"/>
      <c r="AF133" s="200"/>
      <c r="AG133" s="200"/>
    </row>
    <row r="134" spans="1:57" ht="15" customHeight="1">
      <c r="A134" s="372"/>
      <c r="B134" s="380"/>
      <c r="C134" s="381"/>
      <c r="D134" s="77"/>
      <c r="F134" s="77"/>
      <c r="I134" s="77"/>
      <c r="J134" s="77"/>
      <c r="L134" s="77"/>
      <c r="O134" s="74"/>
      <c r="P134" s="526"/>
      <c r="Q134" s="556"/>
      <c r="R134" s="556"/>
      <c r="S134" s="556"/>
      <c r="T134" s="556"/>
      <c r="U134" s="526"/>
      <c r="V134" s="526"/>
      <c r="W134" s="74"/>
      <c r="X134" s="74"/>
      <c r="Y134" s="74"/>
      <c r="Z134" s="74"/>
      <c r="AA134" s="74"/>
      <c r="AB134" s="74"/>
      <c r="AC134" s="74"/>
      <c r="AF134" s="200"/>
      <c r="AG134" s="200"/>
    </row>
    <row r="135" spans="1:57" ht="15" customHeight="1" thickBot="1">
      <c r="A135" s="375"/>
      <c r="B135" s="382"/>
      <c r="C135" s="383"/>
      <c r="D135" s="77"/>
      <c r="F135" s="77"/>
      <c r="I135" s="77"/>
      <c r="J135" s="77"/>
      <c r="L135" s="77"/>
      <c r="O135" s="74"/>
      <c r="P135" s="526"/>
      <c r="Q135" s="556"/>
      <c r="R135" s="556"/>
      <c r="S135" s="556"/>
      <c r="T135" s="556"/>
      <c r="U135" s="526"/>
      <c r="V135" s="526"/>
      <c r="W135" s="74"/>
      <c r="X135" s="74"/>
      <c r="Y135" s="74"/>
      <c r="Z135" s="74"/>
      <c r="AA135" s="74"/>
      <c r="AB135" s="74"/>
      <c r="AC135" s="74"/>
      <c r="AF135" s="200"/>
      <c r="AG135" s="200"/>
    </row>
    <row r="136" spans="1:57" ht="15" customHeight="1">
      <c r="A136" s="198">
        <f>MAX(A112,IF(A116="",0,MAX(A116:A135)))</f>
        <v>0</v>
      </c>
      <c r="B136" s="199"/>
      <c r="C136" s="199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F136" s="200"/>
      <c r="AG136" s="200"/>
    </row>
    <row r="137" spans="1:57" ht="15" customHeight="1" thickBot="1"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F137" s="200"/>
      <c r="AG137" s="200"/>
    </row>
    <row r="138" spans="1:57" ht="20.100000000000001" customHeight="1">
      <c r="A138" s="66"/>
      <c r="B138" s="67"/>
      <c r="C138" s="68"/>
      <c r="D138" s="178"/>
      <c r="E138" s="178"/>
      <c r="F138" s="178"/>
      <c r="G138" s="178"/>
      <c r="H138" s="178"/>
      <c r="I138" s="178"/>
      <c r="J138" s="179"/>
      <c r="K138" s="178"/>
      <c r="L138" s="180"/>
      <c r="M138" s="581"/>
      <c r="N138" s="582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F138" s="200"/>
      <c r="AG138" s="200"/>
    </row>
    <row r="139" spans="1:57" ht="20.100000000000001" customHeight="1">
      <c r="A139" s="78"/>
      <c r="C139" s="79"/>
      <c r="D139" s="667" t="str">
        <f>D76</f>
        <v>MAC QT 315 L</v>
      </c>
      <c r="E139" s="668"/>
      <c r="F139" s="668"/>
      <c r="G139" s="668"/>
      <c r="H139" s="668"/>
      <c r="I139" s="668"/>
      <c r="J139" s="668"/>
      <c r="K139" s="669"/>
      <c r="L139" s="181"/>
      <c r="M139" s="670"/>
      <c r="N139" s="592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F139" s="200"/>
      <c r="AG139" s="200"/>
    </row>
    <row r="140" spans="1:57" ht="20.100000000000001" customHeight="1">
      <c r="A140" s="78"/>
      <c r="C140" s="79"/>
      <c r="D140" s="588" t="s">
        <v>220</v>
      </c>
      <c r="E140" s="589"/>
      <c r="F140" s="589"/>
      <c r="G140" s="589"/>
      <c r="H140" s="589"/>
      <c r="I140" s="589"/>
      <c r="J140" s="589"/>
      <c r="K140" s="590"/>
      <c r="L140" s="181" t="s">
        <v>105</v>
      </c>
      <c r="M140" s="591" t="str">
        <f>'driving mode datasheet'!M140</f>
        <v>3 de 3</v>
      </c>
      <c r="N140" s="592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F140" s="200"/>
      <c r="AG140" s="200"/>
    </row>
    <row r="141" spans="1:57" ht="20.100000000000001" customHeight="1">
      <c r="A141" s="78"/>
      <c r="C141" s="79"/>
      <c r="D141" s="597" t="s">
        <v>221</v>
      </c>
      <c r="E141" s="598"/>
      <c r="F141" s="598"/>
      <c r="G141" s="598"/>
      <c r="H141" s="598"/>
      <c r="I141" s="598"/>
      <c r="J141" s="598"/>
      <c r="K141" s="599"/>
      <c r="L141" s="181" t="s">
        <v>13</v>
      </c>
      <c r="M141" s="600">
        <f>'driving mode datasheet'!M141</f>
        <v>45239</v>
      </c>
      <c r="N141" s="666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F141" s="200"/>
      <c r="AG141" s="200"/>
    </row>
    <row r="142" spans="1:57" ht="20.100000000000001" customHeight="1" thickBot="1">
      <c r="A142" s="81"/>
      <c r="B142" s="82"/>
      <c r="C142" s="83"/>
      <c r="D142" s="182"/>
      <c r="E142" s="182"/>
      <c r="F142" s="182"/>
      <c r="G142" s="182"/>
      <c r="H142" s="182"/>
      <c r="I142" s="182"/>
      <c r="J142" s="183"/>
      <c r="K142" s="182"/>
      <c r="L142" s="184"/>
      <c r="M142" s="601"/>
      <c r="N142" s="602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F142" s="200"/>
      <c r="AG142" s="200"/>
    </row>
    <row r="143" spans="1:57" ht="54.75" customHeight="1">
      <c r="H143" s="201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F143" s="200"/>
      <c r="AG143" s="200"/>
    </row>
    <row r="144" spans="1:57" ht="72" customHeight="1" thickBot="1">
      <c r="C144" s="202"/>
      <c r="D144" s="203"/>
      <c r="E144" s="203"/>
      <c r="F144" s="203"/>
      <c r="G144" s="203"/>
      <c r="H144" s="203"/>
      <c r="I144" s="203"/>
      <c r="J144" s="203"/>
      <c r="K144" s="203"/>
      <c r="L144" s="203"/>
      <c r="M144" s="203"/>
      <c r="BE144" s="76"/>
    </row>
    <row r="145" spans="1:57" ht="42.75" customHeight="1" thickTop="1" thickBot="1">
      <c r="C145" s="691" t="str">
        <f>D76</f>
        <v>MAC QT 315 L</v>
      </c>
      <c r="D145" s="692"/>
      <c r="E145" s="692"/>
      <c r="F145" s="692"/>
      <c r="G145" s="204" t="str">
        <f>A87</f>
        <v>C62</v>
      </c>
      <c r="H145" s="204" t="s">
        <v>181</v>
      </c>
      <c r="I145" s="206">
        <f>F9</f>
        <v>6</v>
      </c>
      <c r="J145" s="207" t="s">
        <v>123</v>
      </c>
      <c r="K145" s="693" t="s">
        <v>67</v>
      </c>
      <c r="L145" s="694"/>
      <c r="M145" s="695"/>
      <c r="BE145" s="76"/>
    </row>
    <row r="146" spans="1:57" ht="42.75" customHeight="1" thickTop="1" thickBot="1">
      <c r="C146" s="208" t="s">
        <v>124</v>
      </c>
      <c r="D146" s="696"/>
      <c r="E146" s="696"/>
      <c r="F146" s="697"/>
      <c r="G146" s="209" t="s">
        <v>125</v>
      </c>
      <c r="H146" s="698"/>
      <c r="I146" s="696"/>
      <c r="J146" s="697"/>
      <c r="K146" s="699" t="str">
        <f>J11</f>
        <v>IM B3</v>
      </c>
      <c r="L146" s="694"/>
      <c r="M146" s="695"/>
      <c r="BE146" s="76"/>
    </row>
    <row r="147" spans="1:57" s="196" customFormat="1" ht="42.75" customHeight="1" thickTop="1" thickBot="1">
      <c r="A147" s="77"/>
      <c r="C147" s="208" t="s">
        <v>126</v>
      </c>
      <c r="D147" s="703">
        <f>D87</f>
        <v>537.64776850564226</v>
      </c>
      <c r="E147" s="704"/>
      <c r="F147" s="210" t="s">
        <v>127</v>
      </c>
      <c r="G147" s="209" t="s">
        <v>128</v>
      </c>
      <c r="H147" s="705">
        <f>B87</f>
        <v>6200</v>
      </c>
      <c r="I147" s="706"/>
      <c r="J147" s="207" t="s">
        <v>79</v>
      </c>
      <c r="K147" s="699" t="str">
        <f>G11</f>
        <v>IP 23</v>
      </c>
      <c r="L147" s="707"/>
      <c r="M147" s="708"/>
      <c r="N147" s="77"/>
      <c r="O147" s="454"/>
      <c r="P147" s="454"/>
      <c r="Q147" s="454"/>
      <c r="R147" s="454"/>
      <c r="S147" s="454"/>
      <c r="T147" s="454"/>
      <c r="U147" s="454"/>
      <c r="V147" s="454"/>
      <c r="W147" s="454"/>
      <c r="X147" s="454"/>
      <c r="Y147" s="454"/>
      <c r="Z147" s="454"/>
      <c r="AA147" s="454"/>
      <c r="AB147" s="454"/>
      <c r="AC147" s="454"/>
      <c r="AD147" s="211"/>
      <c r="AE147" s="211"/>
      <c r="AI147" s="211"/>
      <c r="AJ147" s="211"/>
      <c r="AK147" s="211"/>
      <c r="AL147" s="211"/>
      <c r="AM147" s="212"/>
      <c r="AN147" s="212"/>
      <c r="AO147" s="212"/>
      <c r="AP147" s="213"/>
      <c r="AQ147" s="212"/>
      <c r="AR147" s="211"/>
      <c r="AS147" s="211"/>
      <c r="AT147" s="211"/>
      <c r="AU147" s="211"/>
      <c r="AV147" s="211"/>
      <c r="AW147" s="211"/>
      <c r="AX147" s="211"/>
      <c r="AY147" s="211"/>
      <c r="AZ147" s="211"/>
      <c r="BA147" s="214"/>
      <c r="BB147" s="214"/>
      <c r="BC147" s="214"/>
      <c r="BD147" s="214"/>
      <c r="BE147" s="214"/>
    </row>
    <row r="148" spans="1:57" ht="42.75" customHeight="1" thickTop="1" thickBot="1">
      <c r="C148" s="208" t="s">
        <v>129</v>
      </c>
      <c r="D148" s="215" t="str">
        <f>IF(RIGHT(G145)="1","Y","D")</f>
        <v>D</v>
      </c>
      <c r="E148" s="216">
        <f>F81</f>
        <v>400</v>
      </c>
      <c r="F148" s="210" t="s">
        <v>130</v>
      </c>
      <c r="G148" s="209" t="s">
        <v>131</v>
      </c>
      <c r="H148" s="709">
        <f>F87</f>
        <v>40.799999999999997</v>
      </c>
      <c r="I148" s="703"/>
      <c r="J148" s="207" t="s">
        <v>83</v>
      </c>
      <c r="K148" s="693" t="str">
        <f>C8</f>
        <v>IC 06</v>
      </c>
      <c r="L148" s="694"/>
      <c r="M148" s="695"/>
      <c r="BE148" s="76"/>
    </row>
    <row r="149" spans="1:57" ht="42.75" customHeight="1" thickTop="1" thickBot="1">
      <c r="C149" s="208" t="s">
        <v>132</v>
      </c>
      <c r="D149" s="703">
        <f>C87</f>
        <v>891.29533660212417</v>
      </c>
      <c r="E149" s="704"/>
      <c r="F149" s="210" t="s">
        <v>35</v>
      </c>
      <c r="G149" s="209" t="s">
        <v>133</v>
      </c>
      <c r="H149" s="217">
        <f>P87</f>
        <v>0.82955354773603751</v>
      </c>
      <c r="I149" s="208" t="s">
        <v>134</v>
      </c>
      <c r="J149" s="218">
        <f>O87</f>
        <v>0.95556187357726197</v>
      </c>
      <c r="K149" s="693" t="str">
        <f>I15</f>
        <v>Cl. F</v>
      </c>
      <c r="L149" s="694"/>
      <c r="M149" s="695"/>
      <c r="BE149" s="76"/>
    </row>
    <row r="150" spans="1:57" ht="42.75" customHeight="1" thickTop="1" thickBot="1">
      <c r="C150" s="208" t="s">
        <v>135</v>
      </c>
      <c r="D150" s="710">
        <f>E87</f>
        <v>828.09000000000015</v>
      </c>
      <c r="E150" s="711"/>
      <c r="F150" s="210" t="s">
        <v>82</v>
      </c>
      <c r="G150" s="209" t="s">
        <v>136</v>
      </c>
      <c r="H150" s="712">
        <f>L13</f>
        <v>4000</v>
      </c>
      <c r="I150" s="706"/>
      <c r="J150" s="219" t="s">
        <v>82</v>
      </c>
      <c r="K150" s="693" t="str">
        <f>F24</f>
        <v>S1</v>
      </c>
      <c r="L150" s="694"/>
      <c r="M150" s="695"/>
      <c r="BE150" s="76"/>
    </row>
    <row r="151" spans="1:57" ht="42.75" customHeight="1" thickTop="1" thickBot="1">
      <c r="C151" s="220" t="s">
        <v>137</v>
      </c>
      <c r="D151" s="221"/>
      <c r="E151" s="222" t="s">
        <v>130</v>
      </c>
      <c r="F151" s="221" t="s">
        <v>138</v>
      </c>
      <c r="G151" s="223" t="s">
        <v>139</v>
      </c>
      <c r="H151" s="224"/>
      <c r="I151" s="220" t="s">
        <v>140</v>
      </c>
      <c r="J151" s="225" t="s">
        <v>79</v>
      </c>
      <c r="K151" s="222" t="s">
        <v>79</v>
      </c>
      <c r="L151" s="226" t="s">
        <v>141</v>
      </c>
      <c r="M151" s="227" t="s">
        <v>141</v>
      </c>
      <c r="BE151" s="76"/>
    </row>
    <row r="152" spans="1:57" ht="42.75" customHeight="1" thickTop="1" thickBot="1">
      <c r="C152" s="700" t="s">
        <v>142</v>
      </c>
      <c r="D152" s="701"/>
      <c r="E152" s="701"/>
      <c r="F152" s="701"/>
      <c r="G152" s="701"/>
      <c r="H152" s="701"/>
      <c r="I152" s="701"/>
      <c r="J152" s="701"/>
      <c r="K152" s="701"/>
      <c r="L152" s="701"/>
      <c r="M152" s="702"/>
      <c r="BE152" s="76"/>
    </row>
    <row r="153" spans="1:57" ht="15" customHeight="1" thickTop="1">
      <c r="O153" s="460"/>
      <c r="P153" s="460"/>
      <c r="Q153" s="460"/>
      <c r="R153" s="460"/>
      <c r="S153" s="460"/>
      <c r="T153" s="460"/>
      <c r="U153" s="460"/>
    </row>
  </sheetData>
  <sheetProtection sheet="1" objects="1" scenarios="1"/>
  <mergeCells count="96">
    <mergeCell ref="C152:M152"/>
    <mergeCell ref="D147:E147"/>
    <mergeCell ref="H147:I147"/>
    <mergeCell ref="K147:M147"/>
    <mergeCell ref="H148:I148"/>
    <mergeCell ref="K148:M148"/>
    <mergeCell ref="D149:E149"/>
    <mergeCell ref="K149:M149"/>
    <mergeCell ref="D141:K141"/>
    <mergeCell ref="M141:N141"/>
    <mergeCell ref="D150:E150"/>
    <mergeCell ref="H150:I150"/>
    <mergeCell ref="K150:M150"/>
    <mergeCell ref="M142:N142"/>
    <mergeCell ref="C145:F145"/>
    <mergeCell ref="K145:M145"/>
    <mergeCell ref="D146:F146"/>
    <mergeCell ref="H146:J146"/>
    <mergeCell ref="K146:M146"/>
    <mergeCell ref="M138:N138"/>
    <mergeCell ref="D139:K139"/>
    <mergeCell ref="M139:N139"/>
    <mergeCell ref="D140:K140"/>
    <mergeCell ref="M140:N140"/>
    <mergeCell ref="A113:C114"/>
    <mergeCell ref="M81:N82"/>
    <mergeCell ref="Q81:T81"/>
    <mergeCell ref="W81:AB81"/>
    <mergeCell ref="A82:D82"/>
    <mergeCell ref="H82:K82"/>
    <mergeCell ref="Q82:T82"/>
    <mergeCell ref="W82:AB82"/>
    <mergeCell ref="B84:E85"/>
    <mergeCell ref="F84:F85"/>
    <mergeCell ref="H84:K85"/>
    <mergeCell ref="L84:L85"/>
    <mergeCell ref="A89:C90"/>
    <mergeCell ref="M79:N79"/>
    <mergeCell ref="A81:D81"/>
    <mergeCell ref="E81:E82"/>
    <mergeCell ref="F81:G82"/>
    <mergeCell ref="H81:K81"/>
    <mergeCell ref="L81:L82"/>
    <mergeCell ref="C19:D20"/>
    <mergeCell ref="D77:K77"/>
    <mergeCell ref="M77:N77"/>
    <mergeCell ref="D78:K78"/>
    <mergeCell ref="M78:N78"/>
    <mergeCell ref="D76:K76"/>
    <mergeCell ref="M76:N76"/>
    <mergeCell ref="A21:D21"/>
    <mergeCell ref="E21:E22"/>
    <mergeCell ref="F21:G22"/>
    <mergeCell ref="H21:K21"/>
    <mergeCell ref="L21:L22"/>
    <mergeCell ref="M21:N22"/>
    <mergeCell ref="A22:D22"/>
    <mergeCell ref="H22:K22"/>
    <mergeCell ref="B24:E25"/>
    <mergeCell ref="F24:F25"/>
    <mergeCell ref="H24:K25"/>
    <mergeCell ref="L24:L25"/>
    <mergeCell ref="M75:N75"/>
    <mergeCell ref="C11:D11"/>
    <mergeCell ref="G11:G12"/>
    <mergeCell ref="N11:N12"/>
    <mergeCell ref="C12:D12"/>
    <mergeCell ref="C13:D13"/>
    <mergeCell ref="G13:H14"/>
    <mergeCell ref="L13:N14"/>
    <mergeCell ref="C14:D14"/>
    <mergeCell ref="C15:D15"/>
    <mergeCell ref="F15:F16"/>
    <mergeCell ref="I15:I16"/>
    <mergeCell ref="K15:K16"/>
    <mergeCell ref="N15:N16"/>
    <mergeCell ref="A16:D18"/>
    <mergeCell ref="F17:H18"/>
    <mergeCell ref="K17:N18"/>
    <mergeCell ref="D4:K4"/>
    <mergeCell ref="M4:N4"/>
    <mergeCell ref="M5:N5"/>
    <mergeCell ref="H7:I8"/>
    <mergeCell ref="J7:L7"/>
    <mergeCell ref="M7:N8"/>
    <mergeCell ref="C8:D9"/>
    <mergeCell ref="J8:L8"/>
    <mergeCell ref="F9:F10"/>
    <mergeCell ref="I9:J10"/>
    <mergeCell ref="M9:N10"/>
    <mergeCell ref="G10:H10"/>
    <mergeCell ref="M1:N1"/>
    <mergeCell ref="D2:K2"/>
    <mergeCell ref="M2:N2"/>
    <mergeCell ref="D3:K3"/>
    <mergeCell ref="M3:N3"/>
  </mergeCells>
  <dataValidations disablePrompts="1" count="1">
    <dataValidation type="list" allowBlank="1" showInputMessage="1" showErrorMessage="1" sqref="K146:M146 WVS983186:WVU983186 WLW983186:WLY983186 WCA983186:WCC983186 VSE983186:VSG983186 VII983186:VIK983186 UYM983186:UYO983186 UOQ983186:UOS983186 UEU983186:UEW983186 TUY983186:TVA983186 TLC983186:TLE983186 TBG983186:TBI983186 SRK983186:SRM983186 SHO983186:SHQ983186 RXS983186:RXU983186 RNW983186:RNY983186 REA983186:REC983186 QUE983186:QUG983186 QKI983186:QKK983186 QAM983186:QAO983186 PQQ983186:PQS983186 PGU983186:PGW983186 OWY983186:OXA983186 ONC983186:ONE983186 ODG983186:ODI983186 NTK983186:NTM983186 NJO983186:NJQ983186 MZS983186:MZU983186 MPW983186:MPY983186 MGA983186:MGC983186 LWE983186:LWG983186 LMI983186:LMK983186 LCM983186:LCO983186 KSQ983186:KSS983186 KIU983186:KIW983186 JYY983186:JZA983186 JPC983186:JPE983186 JFG983186:JFI983186 IVK983186:IVM983186 ILO983186:ILQ983186 IBS983186:IBU983186 HRW983186:HRY983186 HIA983186:HIC983186 GYE983186:GYG983186 GOI983186:GOK983186 GEM983186:GEO983186 FUQ983186:FUS983186 FKU983186:FKW983186 FAY983186:FBA983186 ERC983186:ERE983186 EHG983186:EHI983186 DXK983186:DXM983186 DNO983186:DNQ983186 DDS983186:DDU983186 CTW983186:CTY983186 CKA983186:CKC983186 CAE983186:CAG983186 BQI983186:BQK983186 BGM983186:BGO983186 AWQ983186:AWS983186 AMU983186:AMW983186 ACY983186:ADA983186 TC983186:TE983186 JG983186:JI983186 K983186:M983186 WVS917650:WVU917650 WLW917650:WLY917650 WCA917650:WCC917650 VSE917650:VSG917650 VII917650:VIK917650 UYM917650:UYO917650 UOQ917650:UOS917650 UEU917650:UEW917650 TUY917650:TVA917650 TLC917650:TLE917650 TBG917650:TBI917650 SRK917650:SRM917650 SHO917650:SHQ917650 RXS917650:RXU917650 RNW917650:RNY917650 REA917650:REC917650 QUE917650:QUG917650 QKI917650:QKK917650 QAM917650:QAO917650 PQQ917650:PQS917650 PGU917650:PGW917650 OWY917650:OXA917650 ONC917650:ONE917650 ODG917650:ODI917650 NTK917650:NTM917650 NJO917650:NJQ917650 MZS917650:MZU917650 MPW917650:MPY917650 MGA917650:MGC917650 LWE917650:LWG917650 LMI917650:LMK917650 LCM917650:LCO917650 KSQ917650:KSS917650 KIU917650:KIW917650 JYY917650:JZA917650 JPC917650:JPE917650 JFG917650:JFI917650 IVK917650:IVM917650 ILO917650:ILQ917650 IBS917650:IBU917650 HRW917650:HRY917650 HIA917650:HIC917650 GYE917650:GYG917650 GOI917650:GOK917650 GEM917650:GEO917650 FUQ917650:FUS917650 FKU917650:FKW917650 FAY917650:FBA917650 ERC917650:ERE917650 EHG917650:EHI917650 DXK917650:DXM917650 DNO917650:DNQ917650 DDS917650:DDU917650 CTW917650:CTY917650 CKA917650:CKC917650 CAE917650:CAG917650 BQI917650:BQK917650 BGM917650:BGO917650 AWQ917650:AWS917650 AMU917650:AMW917650 ACY917650:ADA917650 TC917650:TE917650 JG917650:JI917650 K917650:M917650 WVS852114:WVU852114 WLW852114:WLY852114 WCA852114:WCC852114 VSE852114:VSG852114 VII852114:VIK852114 UYM852114:UYO852114 UOQ852114:UOS852114 UEU852114:UEW852114 TUY852114:TVA852114 TLC852114:TLE852114 TBG852114:TBI852114 SRK852114:SRM852114 SHO852114:SHQ852114 RXS852114:RXU852114 RNW852114:RNY852114 REA852114:REC852114 QUE852114:QUG852114 QKI852114:QKK852114 QAM852114:QAO852114 PQQ852114:PQS852114 PGU852114:PGW852114 OWY852114:OXA852114 ONC852114:ONE852114 ODG852114:ODI852114 NTK852114:NTM852114 NJO852114:NJQ852114 MZS852114:MZU852114 MPW852114:MPY852114 MGA852114:MGC852114 LWE852114:LWG852114 LMI852114:LMK852114 LCM852114:LCO852114 KSQ852114:KSS852114 KIU852114:KIW852114 JYY852114:JZA852114 JPC852114:JPE852114 JFG852114:JFI852114 IVK852114:IVM852114 ILO852114:ILQ852114 IBS852114:IBU852114 HRW852114:HRY852114 HIA852114:HIC852114 GYE852114:GYG852114 GOI852114:GOK852114 GEM852114:GEO852114 FUQ852114:FUS852114 FKU852114:FKW852114 FAY852114:FBA852114 ERC852114:ERE852114 EHG852114:EHI852114 DXK852114:DXM852114 DNO852114:DNQ852114 DDS852114:DDU852114 CTW852114:CTY852114 CKA852114:CKC852114 CAE852114:CAG852114 BQI852114:BQK852114 BGM852114:BGO852114 AWQ852114:AWS852114 AMU852114:AMW852114 ACY852114:ADA852114 TC852114:TE852114 JG852114:JI852114 K852114:M852114 WVS786578:WVU786578 WLW786578:WLY786578 WCA786578:WCC786578 VSE786578:VSG786578 VII786578:VIK786578 UYM786578:UYO786578 UOQ786578:UOS786578 UEU786578:UEW786578 TUY786578:TVA786578 TLC786578:TLE786578 TBG786578:TBI786578 SRK786578:SRM786578 SHO786578:SHQ786578 RXS786578:RXU786578 RNW786578:RNY786578 REA786578:REC786578 QUE786578:QUG786578 QKI786578:QKK786578 QAM786578:QAO786578 PQQ786578:PQS786578 PGU786578:PGW786578 OWY786578:OXA786578 ONC786578:ONE786578 ODG786578:ODI786578 NTK786578:NTM786578 NJO786578:NJQ786578 MZS786578:MZU786578 MPW786578:MPY786578 MGA786578:MGC786578 LWE786578:LWG786578 LMI786578:LMK786578 LCM786578:LCO786578 KSQ786578:KSS786578 KIU786578:KIW786578 JYY786578:JZA786578 JPC786578:JPE786578 JFG786578:JFI786578 IVK786578:IVM786578 ILO786578:ILQ786578 IBS786578:IBU786578 HRW786578:HRY786578 HIA786578:HIC786578 GYE786578:GYG786578 GOI786578:GOK786578 GEM786578:GEO786578 FUQ786578:FUS786578 FKU786578:FKW786578 FAY786578:FBA786578 ERC786578:ERE786578 EHG786578:EHI786578 DXK786578:DXM786578 DNO786578:DNQ786578 DDS786578:DDU786578 CTW786578:CTY786578 CKA786578:CKC786578 CAE786578:CAG786578 BQI786578:BQK786578 BGM786578:BGO786578 AWQ786578:AWS786578 AMU786578:AMW786578 ACY786578:ADA786578 TC786578:TE786578 JG786578:JI786578 K786578:M786578 WVS721042:WVU721042 WLW721042:WLY721042 WCA721042:WCC721042 VSE721042:VSG721042 VII721042:VIK721042 UYM721042:UYO721042 UOQ721042:UOS721042 UEU721042:UEW721042 TUY721042:TVA721042 TLC721042:TLE721042 TBG721042:TBI721042 SRK721042:SRM721042 SHO721042:SHQ721042 RXS721042:RXU721042 RNW721042:RNY721042 REA721042:REC721042 QUE721042:QUG721042 QKI721042:QKK721042 QAM721042:QAO721042 PQQ721042:PQS721042 PGU721042:PGW721042 OWY721042:OXA721042 ONC721042:ONE721042 ODG721042:ODI721042 NTK721042:NTM721042 NJO721042:NJQ721042 MZS721042:MZU721042 MPW721042:MPY721042 MGA721042:MGC721042 LWE721042:LWG721042 LMI721042:LMK721042 LCM721042:LCO721042 KSQ721042:KSS721042 KIU721042:KIW721042 JYY721042:JZA721042 JPC721042:JPE721042 JFG721042:JFI721042 IVK721042:IVM721042 ILO721042:ILQ721042 IBS721042:IBU721042 HRW721042:HRY721042 HIA721042:HIC721042 GYE721042:GYG721042 GOI721042:GOK721042 GEM721042:GEO721042 FUQ721042:FUS721042 FKU721042:FKW721042 FAY721042:FBA721042 ERC721042:ERE721042 EHG721042:EHI721042 DXK721042:DXM721042 DNO721042:DNQ721042 DDS721042:DDU721042 CTW721042:CTY721042 CKA721042:CKC721042 CAE721042:CAG721042 BQI721042:BQK721042 BGM721042:BGO721042 AWQ721042:AWS721042 AMU721042:AMW721042 ACY721042:ADA721042 TC721042:TE721042 JG721042:JI721042 K721042:M721042 WVS655506:WVU655506 WLW655506:WLY655506 WCA655506:WCC655506 VSE655506:VSG655506 VII655506:VIK655506 UYM655506:UYO655506 UOQ655506:UOS655506 UEU655506:UEW655506 TUY655506:TVA655506 TLC655506:TLE655506 TBG655506:TBI655506 SRK655506:SRM655506 SHO655506:SHQ655506 RXS655506:RXU655506 RNW655506:RNY655506 REA655506:REC655506 QUE655506:QUG655506 QKI655506:QKK655506 QAM655506:QAO655506 PQQ655506:PQS655506 PGU655506:PGW655506 OWY655506:OXA655506 ONC655506:ONE655506 ODG655506:ODI655506 NTK655506:NTM655506 NJO655506:NJQ655506 MZS655506:MZU655506 MPW655506:MPY655506 MGA655506:MGC655506 LWE655506:LWG655506 LMI655506:LMK655506 LCM655506:LCO655506 KSQ655506:KSS655506 KIU655506:KIW655506 JYY655506:JZA655506 JPC655506:JPE655506 JFG655506:JFI655506 IVK655506:IVM655506 ILO655506:ILQ655506 IBS655506:IBU655506 HRW655506:HRY655506 HIA655506:HIC655506 GYE655506:GYG655506 GOI655506:GOK655506 GEM655506:GEO655506 FUQ655506:FUS655506 FKU655506:FKW655506 FAY655506:FBA655506 ERC655506:ERE655506 EHG655506:EHI655506 DXK655506:DXM655506 DNO655506:DNQ655506 DDS655506:DDU655506 CTW655506:CTY655506 CKA655506:CKC655506 CAE655506:CAG655506 BQI655506:BQK655506 BGM655506:BGO655506 AWQ655506:AWS655506 AMU655506:AMW655506 ACY655506:ADA655506 TC655506:TE655506 JG655506:JI655506 K655506:M655506 WVS589970:WVU589970 WLW589970:WLY589970 WCA589970:WCC589970 VSE589970:VSG589970 VII589970:VIK589970 UYM589970:UYO589970 UOQ589970:UOS589970 UEU589970:UEW589970 TUY589970:TVA589970 TLC589970:TLE589970 TBG589970:TBI589970 SRK589970:SRM589970 SHO589970:SHQ589970 RXS589970:RXU589970 RNW589970:RNY589970 REA589970:REC589970 QUE589970:QUG589970 QKI589970:QKK589970 QAM589970:QAO589970 PQQ589970:PQS589970 PGU589970:PGW589970 OWY589970:OXA589970 ONC589970:ONE589970 ODG589970:ODI589970 NTK589970:NTM589970 NJO589970:NJQ589970 MZS589970:MZU589970 MPW589970:MPY589970 MGA589970:MGC589970 LWE589970:LWG589970 LMI589970:LMK589970 LCM589970:LCO589970 KSQ589970:KSS589970 KIU589970:KIW589970 JYY589970:JZA589970 JPC589970:JPE589970 JFG589970:JFI589970 IVK589970:IVM589970 ILO589970:ILQ589970 IBS589970:IBU589970 HRW589970:HRY589970 HIA589970:HIC589970 GYE589970:GYG589970 GOI589970:GOK589970 GEM589970:GEO589970 FUQ589970:FUS589970 FKU589970:FKW589970 FAY589970:FBA589970 ERC589970:ERE589970 EHG589970:EHI589970 DXK589970:DXM589970 DNO589970:DNQ589970 DDS589970:DDU589970 CTW589970:CTY589970 CKA589970:CKC589970 CAE589970:CAG589970 BQI589970:BQK589970 BGM589970:BGO589970 AWQ589970:AWS589970 AMU589970:AMW589970 ACY589970:ADA589970 TC589970:TE589970 JG589970:JI589970 K589970:M589970 WVS524434:WVU524434 WLW524434:WLY524434 WCA524434:WCC524434 VSE524434:VSG524434 VII524434:VIK524434 UYM524434:UYO524434 UOQ524434:UOS524434 UEU524434:UEW524434 TUY524434:TVA524434 TLC524434:TLE524434 TBG524434:TBI524434 SRK524434:SRM524434 SHO524434:SHQ524434 RXS524434:RXU524434 RNW524434:RNY524434 REA524434:REC524434 QUE524434:QUG524434 QKI524434:QKK524434 QAM524434:QAO524434 PQQ524434:PQS524434 PGU524434:PGW524434 OWY524434:OXA524434 ONC524434:ONE524434 ODG524434:ODI524434 NTK524434:NTM524434 NJO524434:NJQ524434 MZS524434:MZU524434 MPW524434:MPY524434 MGA524434:MGC524434 LWE524434:LWG524434 LMI524434:LMK524434 LCM524434:LCO524434 KSQ524434:KSS524434 KIU524434:KIW524434 JYY524434:JZA524434 JPC524434:JPE524434 JFG524434:JFI524434 IVK524434:IVM524434 ILO524434:ILQ524434 IBS524434:IBU524434 HRW524434:HRY524434 HIA524434:HIC524434 GYE524434:GYG524434 GOI524434:GOK524434 GEM524434:GEO524434 FUQ524434:FUS524434 FKU524434:FKW524434 FAY524434:FBA524434 ERC524434:ERE524434 EHG524434:EHI524434 DXK524434:DXM524434 DNO524434:DNQ524434 DDS524434:DDU524434 CTW524434:CTY524434 CKA524434:CKC524434 CAE524434:CAG524434 BQI524434:BQK524434 BGM524434:BGO524434 AWQ524434:AWS524434 AMU524434:AMW524434 ACY524434:ADA524434 TC524434:TE524434 JG524434:JI524434 K524434:M524434 WVS458898:WVU458898 WLW458898:WLY458898 WCA458898:WCC458898 VSE458898:VSG458898 VII458898:VIK458898 UYM458898:UYO458898 UOQ458898:UOS458898 UEU458898:UEW458898 TUY458898:TVA458898 TLC458898:TLE458898 TBG458898:TBI458898 SRK458898:SRM458898 SHO458898:SHQ458898 RXS458898:RXU458898 RNW458898:RNY458898 REA458898:REC458898 QUE458898:QUG458898 QKI458898:QKK458898 QAM458898:QAO458898 PQQ458898:PQS458898 PGU458898:PGW458898 OWY458898:OXA458898 ONC458898:ONE458898 ODG458898:ODI458898 NTK458898:NTM458898 NJO458898:NJQ458898 MZS458898:MZU458898 MPW458898:MPY458898 MGA458898:MGC458898 LWE458898:LWG458898 LMI458898:LMK458898 LCM458898:LCO458898 KSQ458898:KSS458898 KIU458898:KIW458898 JYY458898:JZA458898 JPC458898:JPE458898 JFG458898:JFI458898 IVK458898:IVM458898 ILO458898:ILQ458898 IBS458898:IBU458898 HRW458898:HRY458898 HIA458898:HIC458898 GYE458898:GYG458898 GOI458898:GOK458898 GEM458898:GEO458898 FUQ458898:FUS458898 FKU458898:FKW458898 FAY458898:FBA458898 ERC458898:ERE458898 EHG458898:EHI458898 DXK458898:DXM458898 DNO458898:DNQ458898 DDS458898:DDU458898 CTW458898:CTY458898 CKA458898:CKC458898 CAE458898:CAG458898 BQI458898:BQK458898 BGM458898:BGO458898 AWQ458898:AWS458898 AMU458898:AMW458898 ACY458898:ADA458898 TC458898:TE458898 JG458898:JI458898 K458898:M458898 WVS393362:WVU393362 WLW393362:WLY393362 WCA393362:WCC393362 VSE393362:VSG393362 VII393362:VIK393362 UYM393362:UYO393362 UOQ393362:UOS393362 UEU393362:UEW393362 TUY393362:TVA393362 TLC393362:TLE393362 TBG393362:TBI393362 SRK393362:SRM393362 SHO393362:SHQ393362 RXS393362:RXU393362 RNW393362:RNY393362 REA393362:REC393362 QUE393362:QUG393362 QKI393362:QKK393362 QAM393362:QAO393362 PQQ393362:PQS393362 PGU393362:PGW393362 OWY393362:OXA393362 ONC393362:ONE393362 ODG393362:ODI393362 NTK393362:NTM393362 NJO393362:NJQ393362 MZS393362:MZU393362 MPW393362:MPY393362 MGA393362:MGC393362 LWE393362:LWG393362 LMI393362:LMK393362 LCM393362:LCO393362 KSQ393362:KSS393362 KIU393362:KIW393362 JYY393362:JZA393362 JPC393362:JPE393362 JFG393362:JFI393362 IVK393362:IVM393362 ILO393362:ILQ393362 IBS393362:IBU393362 HRW393362:HRY393362 HIA393362:HIC393362 GYE393362:GYG393362 GOI393362:GOK393362 GEM393362:GEO393362 FUQ393362:FUS393362 FKU393362:FKW393362 FAY393362:FBA393362 ERC393362:ERE393362 EHG393362:EHI393362 DXK393362:DXM393362 DNO393362:DNQ393362 DDS393362:DDU393362 CTW393362:CTY393362 CKA393362:CKC393362 CAE393362:CAG393362 BQI393362:BQK393362 BGM393362:BGO393362 AWQ393362:AWS393362 AMU393362:AMW393362 ACY393362:ADA393362 TC393362:TE393362 JG393362:JI393362 K393362:M393362 WVS327826:WVU327826 WLW327826:WLY327826 WCA327826:WCC327826 VSE327826:VSG327826 VII327826:VIK327826 UYM327826:UYO327826 UOQ327826:UOS327826 UEU327826:UEW327826 TUY327826:TVA327826 TLC327826:TLE327826 TBG327826:TBI327826 SRK327826:SRM327826 SHO327826:SHQ327826 RXS327826:RXU327826 RNW327826:RNY327826 REA327826:REC327826 QUE327826:QUG327826 QKI327826:QKK327826 QAM327826:QAO327826 PQQ327826:PQS327826 PGU327826:PGW327826 OWY327826:OXA327826 ONC327826:ONE327826 ODG327826:ODI327826 NTK327826:NTM327826 NJO327826:NJQ327826 MZS327826:MZU327826 MPW327826:MPY327826 MGA327826:MGC327826 LWE327826:LWG327826 LMI327826:LMK327826 LCM327826:LCO327826 KSQ327826:KSS327826 KIU327826:KIW327826 JYY327826:JZA327826 JPC327826:JPE327826 JFG327826:JFI327826 IVK327826:IVM327826 ILO327826:ILQ327826 IBS327826:IBU327826 HRW327826:HRY327826 HIA327826:HIC327826 GYE327826:GYG327826 GOI327826:GOK327826 GEM327826:GEO327826 FUQ327826:FUS327826 FKU327826:FKW327826 FAY327826:FBA327826 ERC327826:ERE327826 EHG327826:EHI327826 DXK327826:DXM327826 DNO327826:DNQ327826 DDS327826:DDU327826 CTW327826:CTY327826 CKA327826:CKC327826 CAE327826:CAG327826 BQI327826:BQK327826 BGM327826:BGO327826 AWQ327826:AWS327826 AMU327826:AMW327826 ACY327826:ADA327826 TC327826:TE327826 JG327826:JI327826 K327826:M327826 WVS262290:WVU262290 WLW262290:WLY262290 WCA262290:WCC262290 VSE262290:VSG262290 VII262290:VIK262290 UYM262290:UYO262290 UOQ262290:UOS262290 UEU262290:UEW262290 TUY262290:TVA262290 TLC262290:TLE262290 TBG262290:TBI262290 SRK262290:SRM262290 SHO262290:SHQ262290 RXS262290:RXU262290 RNW262290:RNY262290 REA262290:REC262290 QUE262290:QUG262290 QKI262290:QKK262290 QAM262290:QAO262290 PQQ262290:PQS262290 PGU262290:PGW262290 OWY262290:OXA262290 ONC262290:ONE262290 ODG262290:ODI262290 NTK262290:NTM262290 NJO262290:NJQ262290 MZS262290:MZU262290 MPW262290:MPY262290 MGA262290:MGC262290 LWE262290:LWG262290 LMI262290:LMK262290 LCM262290:LCO262290 KSQ262290:KSS262290 KIU262290:KIW262290 JYY262290:JZA262290 JPC262290:JPE262290 JFG262290:JFI262290 IVK262290:IVM262290 ILO262290:ILQ262290 IBS262290:IBU262290 HRW262290:HRY262290 HIA262290:HIC262290 GYE262290:GYG262290 GOI262290:GOK262290 GEM262290:GEO262290 FUQ262290:FUS262290 FKU262290:FKW262290 FAY262290:FBA262290 ERC262290:ERE262290 EHG262290:EHI262290 DXK262290:DXM262290 DNO262290:DNQ262290 DDS262290:DDU262290 CTW262290:CTY262290 CKA262290:CKC262290 CAE262290:CAG262290 BQI262290:BQK262290 BGM262290:BGO262290 AWQ262290:AWS262290 AMU262290:AMW262290 ACY262290:ADA262290 TC262290:TE262290 JG262290:JI262290 K262290:M262290 WVS196754:WVU196754 WLW196754:WLY196754 WCA196754:WCC196754 VSE196754:VSG196754 VII196754:VIK196754 UYM196754:UYO196754 UOQ196754:UOS196754 UEU196754:UEW196754 TUY196754:TVA196754 TLC196754:TLE196754 TBG196754:TBI196754 SRK196754:SRM196754 SHO196754:SHQ196754 RXS196754:RXU196754 RNW196754:RNY196754 REA196754:REC196754 QUE196754:QUG196754 QKI196754:QKK196754 QAM196754:QAO196754 PQQ196754:PQS196754 PGU196754:PGW196754 OWY196754:OXA196754 ONC196754:ONE196754 ODG196754:ODI196754 NTK196754:NTM196754 NJO196754:NJQ196754 MZS196754:MZU196754 MPW196754:MPY196754 MGA196754:MGC196754 LWE196754:LWG196754 LMI196754:LMK196754 LCM196754:LCO196754 KSQ196754:KSS196754 KIU196754:KIW196754 JYY196754:JZA196754 JPC196754:JPE196754 JFG196754:JFI196754 IVK196754:IVM196754 ILO196754:ILQ196754 IBS196754:IBU196754 HRW196754:HRY196754 HIA196754:HIC196754 GYE196754:GYG196754 GOI196754:GOK196754 GEM196754:GEO196754 FUQ196754:FUS196754 FKU196754:FKW196754 FAY196754:FBA196754 ERC196754:ERE196754 EHG196754:EHI196754 DXK196754:DXM196754 DNO196754:DNQ196754 DDS196754:DDU196754 CTW196754:CTY196754 CKA196754:CKC196754 CAE196754:CAG196754 BQI196754:BQK196754 BGM196754:BGO196754 AWQ196754:AWS196754 AMU196754:AMW196754 ACY196754:ADA196754 TC196754:TE196754 JG196754:JI196754 K196754:M196754 WVS131218:WVU131218 WLW131218:WLY131218 WCA131218:WCC131218 VSE131218:VSG131218 VII131218:VIK131218 UYM131218:UYO131218 UOQ131218:UOS131218 UEU131218:UEW131218 TUY131218:TVA131218 TLC131218:TLE131218 TBG131218:TBI131218 SRK131218:SRM131218 SHO131218:SHQ131218 RXS131218:RXU131218 RNW131218:RNY131218 REA131218:REC131218 QUE131218:QUG131218 QKI131218:QKK131218 QAM131218:QAO131218 PQQ131218:PQS131218 PGU131218:PGW131218 OWY131218:OXA131218 ONC131218:ONE131218 ODG131218:ODI131218 NTK131218:NTM131218 NJO131218:NJQ131218 MZS131218:MZU131218 MPW131218:MPY131218 MGA131218:MGC131218 LWE131218:LWG131218 LMI131218:LMK131218 LCM131218:LCO131218 KSQ131218:KSS131218 KIU131218:KIW131218 JYY131218:JZA131218 JPC131218:JPE131218 JFG131218:JFI131218 IVK131218:IVM131218 ILO131218:ILQ131218 IBS131218:IBU131218 HRW131218:HRY131218 HIA131218:HIC131218 GYE131218:GYG131218 GOI131218:GOK131218 GEM131218:GEO131218 FUQ131218:FUS131218 FKU131218:FKW131218 FAY131218:FBA131218 ERC131218:ERE131218 EHG131218:EHI131218 DXK131218:DXM131218 DNO131218:DNQ131218 DDS131218:DDU131218 CTW131218:CTY131218 CKA131218:CKC131218 CAE131218:CAG131218 BQI131218:BQK131218 BGM131218:BGO131218 AWQ131218:AWS131218 AMU131218:AMW131218 ACY131218:ADA131218 TC131218:TE131218 JG131218:JI131218 K131218:M131218 WVS65682:WVU65682 WLW65682:WLY65682 WCA65682:WCC65682 VSE65682:VSG65682 VII65682:VIK65682 UYM65682:UYO65682 UOQ65682:UOS65682 UEU65682:UEW65682 TUY65682:TVA65682 TLC65682:TLE65682 TBG65682:TBI65682 SRK65682:SRM65682 SHO65682:SHQ65682 RXS65682:RXU65682 RNW65682:RNY65682 REA65682:REC65682 QUE65682:QUG65682 QKI65682:QKK65682 QAM65682:QAO65682 PQQ65682:PQS65682 PGU65682:PGW65682 OWY65682:OXA65682 ONC65682:ONE65682 ODG65682:ODI65682 NTK65682:NTM65682 NJO65682:NJQ65682 MZS65682:MZU65682 MPW65682:MPY65682 MGA65682:MGC65682 LWE65682:LWG65682 LMI65682:LMK65682 LCM65682:LCO65682 KSQ65682:KSS65682 KIU65682:KIW65682 JYY65682:JZA65682 JPC65682:JPE65682 JFG65682:JFI65682 IVK65682:IVM65682 ILO65682:ILQ65682 IBS65682:IBU65682 HRW65682:HRY65682 HIA65682:HIC65682 GYE65682:GYG65682 GOI65682:GOK65682 GEM65682:GEO65682 FUQ65682:FUS65682 FKU65682:FKW65682 FAY65682:FBA65682 ERC65682:ERE65682 EHG65682:EHI65682 DXK65682:DXM65682 DNO65682:DNQ65682 DDS65682:DDU65682 CTW65682:CTY65682 CKA65682:CKC65682 CAE65682:CAG65682 BQI65682:BQK65682 BGM65682:BGO65682 AWQ65682:AWS65682 AMU65682:AMW65682 ACY65682:ADA65682 TC65682:TE65682 JG65682:JI65682 K65682:M65682 WVS146:WVU146 WLW146:WLY146 WCA146:WCC146 VSE146:VSG146 VII146:VIK146 UYM146:UYO146 UOQ146:UOS146 UEU146:UEW146 TUY146:TVA146 TLC146:TLE146 TBG146:TBI146 SRK146:SRM146 SHO146:SHQ146 RXS146:RXU146 RNW146:RNY146 REA146:REC146 QUE146:QUG146 QKI146:QKK146 QAM146:QAO146 PQQ146:PQS146 PGU146:PGW146 OWY146:OXA146 ONC146:ONE146 ODG146:ODI146 NTK146:NTM146 NJO146:NJQ146 MZS146:MZU146 MPW146:MPY146 MGA146:MGC146 LWE146:LWG146 LMI146:LMK146 LCM146:LCO146 KSQ146:KSS146 KIU146:KIW146 JYY146:JZA146 JPC146:JPE146 JFG146:JFI146 IVK146:IVM146 ILO146:ILQ146 IBS146:IBU146 HRW146:HRY146 HIA146:HIC146 GYE146:GYG146 GOI146:GOK146 GEM146:GEO146 FUQ146:FUS146 FKU146:FKW146 FAY146:FBA146 ERC146:ERE146 EHG146:EHI146 DXK146:DXM146 DNO146:DNQ146 DDS146:DDU146 CTW146:CTY146 CKA146:CKC146 CAE146:CAG146 BQI146:BQK146 BGM146:BGO146 AWQ146:AWS146 AMU146:AMW146 ACY146:ADA146 TC146:TE146 JG146:JI146" xr:uid="{00000000-0002-0000-0300-000000000000}">
      <formula1>$S$9:$S$10</formula1>
    </dataValidation>
  </dataValidations>
  <pageMargins left="0.78740157480314965" right="0.39370078740157483" top="0.19685039370078741" bottom="0.19685039370078741" header="0.39370078740157483" footer="0.39370078740157483"/>
  <pageSetup paperSize="9" scale="59" fitToHeight="2" orientation="portrait" horizontalDpi="180" verticalDpi="180" r:id="rId1"/>
  <headerFooter alignWithMargins="0"/>
  <rowBreaks count="2" manualBreakCount="2">
    <brk id="74" max="13" man="1"/>
    <brk id="137" max="13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4097" r:id="rId4">
          <objectPr defaultSize="0" autoPict="0" r:id="rId5">
            <anchor moveWithCells="1">
              <from>
                <xdr:col>0</xdr:col>
                <xdr:colOff>76200</xdr:colOff>
                <xdr:row>1</xdr:row>
                <xdr:rowOff>123825</xdr:rowOff>
              </from>
              <to>
                <xdr:col>2</xdr:col>
                <xdr:colOff>95250</xdr:colOff>
                <xdr:row>3</xdr:row>
                <xdr:rowOff>161925</xdr:rowOff>
              </to>
            </anchor>
          </objectPr>
        </oleObject>
      </mc:Choice>
      <mc:Fallback>
        <oleObject progId="Word.Picture.8" shapeId="4097" r:id="rId4"/>
      </mc:Fallback>
    </mc:AlternateContent>
    <mc:AlternateContent xmlns:mc="http://schemas.openxmlformats.org/markup-compatibility/2006">
      <mc:Choice Requires="x14">
        <oleObject progId="Word.Picture.8" shapeId="4098" r:id="rId6">
          <objectPr defaultSize="0" autoPict="0" r:id="rId5">
            <anchor moveWithCells="1">
              <from>
                <xdr:col>0</xdr:col>
                <xdr:colOff>19050</xdr:colOff>
                <xdr:row>75</xdr:row>
                <xdr:rowOff>133350</xdr:rowOff>
              </from>
              <to>
                <xdr:col>1</xdr:col>
                <xdr:colOff>533400</xdr:colOff>
                <xdr:row>77</xdr:row>
                <xdr:rowOff>85725</xdr:rowOff>
              </to>
            </anchor>
          </objectPr>
        </oleObject>
      </mc:Choice>
      <mc:Fallback>
        <oleObject progId="Word.Picture.8" shapeId="4098" r:id="rId6"/>
      </mc:Fallback>
    </mc:AlternateContent>
    <mc:AlternateContent xmlns:mc="http://schemas.openxmlformats.org/markup-compatibility/2006">
      <mc:Choice Requires="x14">
        <oleObject progId="Word.Picture.8" shapeId="4099" r:id="rId7">
          <objectPr defaultSize="0" autoPict="0" r:id="rId5">
            <anchor moveWithCells="1">
              <from>
                <xdr:col>0</xdr:col>
                <xdr:colOff>66675</xdr:colOff>
                <xdr:row>75</xdr:row>
                <xdr:rowOff>38100</xdr:rowOff>
              </from>
              <to>
                <xdr:col>2</xdr:col>
                <xdr:colOff>85725</xdr:colOff>
                <xdr:row>77</xdr:row>
                <xdr:rowOff>85725</xdr:rowOff>
              </to>
            </anchor>
          </objectPr>
        </oleObject>
      </mc:Choice>
      <mc:Fallback>
        <oleObject progId="Word.Picture.8" shapeId="4099" r:id="rId7"/>
      </mc:Fallback>
    </mc:AlternateContent>
    <mc:AlternateContent xmlns:mc="http://schemas.openxmlformats.org/markup-compatibility/2006">
      <mc:Choice Requires="x14">
        <oleObject progId="Word.Picture.8" shapeId="4101" r:id="rId8">
          <objectPr defaultSize="0" autoPict="0" r:id="rId5">
            <anchor moveWithCells="1">
              <from>
                <xdr:col>0</xdr:col>
                <xdr:colOff>247650</xdr:colOff>
                <xdr:row>138</xdr:row>
                <xdr:rowOff>76200</xdr:rowOff>
              </from>
              <to>
                <xdr:col>2</xdr:col>
                <xdr:colOff>209550</xdr:colOff>
                <xdr:row>140</xdr:row>
                <xdr:rowOff>114300</xdr:rowOff>
              </to>
            </anchor>
          </objectPr>
        </oleObject>
      </mc:Choice>
      <mc:Fallback>
        <oleObject progId="Word.Picture.8" shapeId="4101" r:id="rId8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0" r:id="rId9" name="Drop Down 4">
              <controlPr defaultSize="0" autoLine="0" autoPict="0">
                <anchor>
                  <from>
                    <xdr:col>2</xdr:col>
                    <xdr:colOff>219075</xdr:colOff>
                    <xdr:row>9</xdr:row>
                    <xdr:rowOff>28575</xdr:rowOff>
                  </from>
                  <to>
                    <xdr:col>3</xdr:col>
                    <xdr:colOff>361950</xdr:colOff>
                    <xdr:row>10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C122"/>
  <sheetViews>
    <sheetView showZeros="0" zoomScaleNormal="100" zoomScaleSheetLayoutView="72" workbookViewId="0">
      <selection activeCell="O34" sqref="O34"/>
    </sheetView>
  </sheetViews>
  <sheetFormatPr defaultColWidth="16" defaultRowHeight="15" customHeight="1"/>
  <cols>
    <col min="1" max="1" width="16" style="233" customWidth="1"/>
    <col min="2" max="8" width="16" style="284" customWidth="1"/>
    <col min="9" max="9" width="16" style="285" customWidth="1"/>
    <col min="10" max="16384" width="16" style="233"/>
  </cols>
  <sheetData>
    <row r="1" spans="1:29" ht="16.5" customHeight="1">
      <c r="A1" s="228"/>
      <c r="B1" s="229"/>
      <c r="C1" s="230"/>
      <c r="D1" s="229"/>
      <c r="E1" s="229"/>
      <c r="F1" s="229"/>
      <c r="G1" s="229"/>
      <c r="H1" s="229"/>
      <c r="I1" s="229"/>
      <c r="J1" s="231"/>
      <c r="K1" s="231"/>
      <c r="L1" s="229"/>
      <c r="M1" s="232"/>
      <c r="N1" s="229"/>
      <c r="O1" s="232"/>
    </row>
    <row r="2" spans="1:29" ht="16.5" customHeight="1">
      <c r="A2" s="234"/>
      <c r="B2" s="235"/>
      <c r="C2" s="236"/>
      <c r="D2" s="235"/>
      <c r="E2" s="237"/>
      <c r="F2" s="237"/>
      <c r="G2" s="235"/>
      <c r="H2" s="235" t="str">
        <f>RESUM!G2</f>
        <v>MAC QT 315 L</v>
      </c>
      <c r="I2" s="235"/>
      <c r="L2" s="238"/>
      <c r="M2" s="239"/>
      <c r="N2" s="238"/>
      <c r="O2" s="239"/>
    </row>
    <row r="3" spans="1:29" ht="16.5" customHeight="1">
      <c r="A3" s="234"/>
      <c r="B3" s="237"/>
      <c r="C3" s="240"/>
      <c r="D3" s="237"/>
      <c r="E3" s="237"/>
      <c r="F3" s="237"/>
      <c r="G3" s="237"/>
      <c r="H3" s="237"/>
      <c r="I3" s="237"/>
      <c r="L3" s="238"/>
      <c r="M3" s="461"/>
      <c r="N3" s="238"/>
      <c r="O3" s="461"/>
    </row>
    <row r="4" spans="1:29" ht="16.5" customHeight="1">
      <c r="A4" s="234"/>
      <c r="B4" s="241"/>
      <c r="C4" s="242"/>
      <c r="D4" s="241"/>
      <c r="E4" s="237"/>
      <c r="F4" s="237"/>
      <c r="G4" s="241"/>
      <c r="H4" s="241" t="s">
        <v>182</v>
      </c>
      <c r="I4" s="241"/>
      <c r="L4" s="238"/>
      <c r="M4" s="239"/>
      <c r="N4" s="238"/>
      <c r="O4" s="239"/>
    </row>
    <row r="5" spans="1:29" ht="16.5" customHeight="1">
      <c r="A5" s="234"/>
      <c r="B5" s="237"/>
      <c r="C5" s="240"/>
      <c r="D5" s="237"/>
      <c r="E5" s="237"/>
      <c r="F5" s="237"/>
      <c r="G5" s="237"/>
      <c r="H5" s="237"/>
      <c r="I5" s="237"/>
      <c r="L5" s="238"/>
      <c r="M5" s="243"/>
      <c r="N5" s="238" t="s">
        <v>144</v>
      </c>
      <c r="O5" s="243">
        <f>RESUM!O5</f>
        <v>45239</v>
      </c>
    </row>
    <row r="6" spans="1:29" ht="16.5" customHeight="1" thickBot="1">
      <c r="A6" s="244"/>
      <c r="B6" s="245"/>
      <c r="C6" s="246"/>
      <c r="D6" s="245"/>
      <c r="E6" s="245"/>
      <c r="F6" s="245"/>
      <c r="G6" s="245"/>
      <c r="H6" s="245"/>
      <c r="I6" s="245"/>
      <c r="J6" s="247"/>
      <c r="K6" s="247"/>
      <c r="L6" s="245"/>
      <c r="M6" s="248"/>
      <c r="N6" s="245"/>
      <c r="O6" s="248"/>
    </row>
    <row r="7" spans="1:29" s="253" customFormat="1" ht="16.5" customHeight="1">
      <c r="A7" s="249"/>
      <c r="B7" s="250"/>
      <c r="C7" s="250"/>
      <c r="D7" s="250"/>
      <c r="E7" s="250"/>
      <c r="F7" s="250"/>
      <c r="G7" s="250"/>
      <c r="H7" s="250"/>
      <c r="I7" s="251"/>
      <c r="J7" s="250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Y7" s="252"/>
      <c r="Z7" s="252"/>
      <c r="AA7" s="252"/>
      <c r="AB7" s="252"/>
      <c r="AC7" s="252"/>
    </row>
    <row r="8" spans="1:29" ht="16.5" customHeight="1">
      <c r="A8" s="254"/>
      <c r="B8" s="255" t="str">
        <f>'driving mode parameters'!B8</f>
        <v>MAC QT 315 L</v>
      </c>
      <c r="C8" s="255" t="str">
        <f>'driving mode parameters'!C8</f>
        <v>MAC QI 315 L</v>
      </c>
      <c r="D8" s="255" t="str">
        <f>'driving mode parameters'!D8</f>
        <v>MAC QI 315 L</v>
      </c>
      <c r="E8" s="255" t="str">
        <f>'driving mode parameters'!E8</f>
        <v>MAC QI 315 L</v>
      </c>
      <c r="F8" s="255" t="str">
        <f>'driving mode parameters'!F8</f>
        <v>MAC QI 315 L</v>
      </c>
      <c r="G8" s="255" t="str">
        <f>'driving mode parameters'!G8</f>
        <v>MAC QI 315 L</v>
      </c>
      <c r="H8" s="255" t="str">
        <f>'driving mode parameters'!H8</f>
        <v>MAC QI 315 L</v>
      </c>
      <c r="I8" s="255" t="str">
        <f>'driving mode parameters'!I8</f>
        <v>MAC QI 315 L</v>
      </c>
      <c r="J8" s="255" t="str">
        <f>'driving mode parameters'!J8</f>
        <v>MAC QI 315 L</v>
      </c>
      <c r="K8" s="255" t="str">
        <f>'driving mode parameters'!K8</f>
        <v>MAC QI 315 L</v>
      </c>
      <c r="L8" s="405">
        <f>'driving mode parameters'!L8</f>
        <v>0</v>
      </c>
      <c r="M8" s="405">
        <f>'driving mode parameters'!M8</f>
        <v>0</v>
      </c>
      <c r="N8" s="405">
        <f>'driving mode parameters'!N8</f>
        <v>0</v>
      </c>
      <c r="O8" s="405">
        <f>'driving mode parameters'!O8</f>
        <v>0</v>
      </c>
    </row>
    <row r="9" spans="1:29" s="257" customFormat="1" ht="16.5" customHeight="1">
      <c r="A9" s="256"/>
      <c r="B9" s="384" t="str">
        <f>'driving mode parameters'!B9</f>
        <v>A61</v>
      </c>
      <c r="C9" s="384" t="str">
        <f>'driving mode parameters'!C9</f>
        <v>B61</v>
      </c>
      <c r="D9" s="384" t="str">
        <f>'driving mode parameters'!D9</f>
        <v>C61</v>
      </c>
      <c r="E9" s="384" t="str">
        <f>'driving mode parameters'!E9</f>
        <v>D61</v>
      </c>
      <c r="F9" s="384" t="str">
        <f>'driving mode parameters'!F9</f>
        <v>E61</v>
      </c>
      <c r="G9" s="384" t="str">
        <f>'driving mode parameters'!G9</f>
        <v>F61</v>
      </c>
      <c r="H9" s="384" t="str">
        <f>'driving mode parameters'!H9</f>
        <v>C62</v>
      </c>
      <c r="I9" s="384" t="str">
        <f>'driving mode parameters'!I9</f>
        <v>D62</v>
      </c>
      <c r="J9" s="384" t="str">
        <f>'driving mode parameters'!J9</f>
        <v>E62</v>
      </c>
      <c r="K9" s="384" t="str">
        <f>'driving mode parameters'!K9</f>
        <v>F62</v>
      </c>
      <c r="L9" s="406">
        <f>'driving mode parameters'!L9</f>
        <v>0</v>
      </c>
      <c r="M9" s="406">
        <f>'driving mode parameters'!M9</f>
        <v>0</v>
      </c>
      <c r="N9" s="406">
        <f>'driving mode parameters'!N9</f>
        <v>0</v>
      </c>
      <c r="O9" s="406">
        <f>'driving mode parameters'!O9</f>
        <v>0</v>
      </c>
      <c r="P9" s="233"/>
      <c r="Q9" s="233"/>
      <c r="R9" s="233"/>
      <c r="S9" s="233"/>
      <c r="T9" s="233"/>
      <c r="U9" s="233"/>
      <c r="V9" s="233"/>
      <c r="W9" s="233"/>
      <c r="X9" s="233"/>
      <c r="Y9" s="233"/>
      <c r="Z9" s="233"/>
      <c r="AA9" s="233"/>
      <c r="AB9" s="233"/>
      <c r="AC9" s="233"/>
    </row>
    <row r="10" spans="1:29" ht="16.5" customHeight="1">
      <c r="A10" s="292" t="str">
        <f>'driving mode parameters'!A10</f>
        <v>Poles</v>
      </c>
      <c r="B10" s="258">
        <f>'driving mode parameters'!B10</f>
        <v>6</v>
      </c>
      <c r="C10" s="258">
        <f>'driving mode parameters'!U12</f>
        <v>6</v>
      </c>
      <c r="D10" s="258">
        <f>'driving mode parameters'!V12</f>
        <v>6</v>
      </c>
      <c r="E10" s="258">
        <f>'driving mode parameters'!E10</f>
        <v>6</v>
      </c>
      <c r="F10" s="258">
        <f>'driving mode parameters'!F10</f>
        <v>6</v>
      </c>
      <c r="G10" s="258">
        <f>'driving mode parameters'!G10</f>
        <v>6</v>
      </c>
      <c r="H10" s="258">
        <f>'driving mode parameters'!H10</f>
        <v>6</v>
      </c>
      <c r="I10" s="258">
        <f>'driving mode parameters'!I10</f>
        <v>6</v>
      </c>
      <c r="J10" s="258">
        <f>'driving mode parameters'!J10</f>
        <v>6</v>
      </c>
      <c r="K10" s="258">
        <f>'driving mode parameters'!K10</f>
        <v>6</v>
      </c>
      <c r="L10" s="407">
        <f>'driving mode parameters'!L10</f>
        <v>6</v>
      </c>
      <c r="M10" s="407">
        <f>'driving mode parameters'!M10</f>
        <v>6</v>
      </c>
      <c r="N10" s="407">
        <f>'driving mode parameters'!N10</f>
        <v>6</v>
      </c>
      <c r="O10" s="407">
        <f>'driving mode parameters'!O10</f>
        <v>6</v>
      </c>
    </row>
    <row r="11" spans="1:29" s="261" customFormat="1" ht="16.5" customHeight="1">
      <c r="A11" s="259" t="s">
        <v>79</v>
      </c>
      <c r="B11" s="260">
        <f>'absorbing mode datasheet'!B27</f>
        <v>6200</v>
      </c>
      <c r="C11" s="260">
        <f>'absorbing mode datasheet'!B28</f>
        <v>6200</v>
      </c>
      <c r="D11" s="260">
        <f>'absorbing mode datasheet'!B29</f>
        <v>6200</v>
      </c>
      <c r="E11" s="260">
        <f>'absorbing mode datasheet'!B30</f>
        <v>6200</v>
      </c>
      <c r="F11" s="260">
        <f>'absorbing mode datasheet'!B31</f>
        <v>6200</v>
      </c>
      <c r="G11" s="260">
        <f>'absorbing mode datasheet'!B32</f>
        <v>6200</v>
      </c>
      <c r="H11" s="260">
        <f>'absorbing mode datasheet'!B33</f>
        <v>6200</v>
      </c>
      <c r="I11" s="260">
        <f>'absorbing mode datasheet'!B34</f>
        <v>5900</v>
      </c>
      <c r="J11" s="260">
        <f>'absorbing mode datasheet'!B35</f>
        <v>5600</v>
      </c>
      <c r="K11" s="260">
        <f>'absorbing mode datasheet'!B36</f>
        <v>5200</v>
      </c>
      <c r="L11" s="408">
        <f>'absorbing mode datasheet'!B37</f>
        <v>0</v>
      </c>
      <c r="M11" s="408">
        <f>'absorbing mode datasheet'!B38</f>
        <v>0</v>
      </c>
      <c r="N11" s="408">
        <f>'absorbing mode datasheet'!B39</f>
        <v>0</v>
      </c>
      <c r="O11" s="408">
        <f>'absorbing mode datasheet'!B40</f>
        <v>0</v>
      </c>
      <c r="P11" s="233"/>
      <c r="Q11" s="233"/>
      <c r="R11" s="233"/>
      <c r="S11" s="233"/>
      <c r="T11" s="233"/>
      <c r="U11" s="233"/>
      <c r="V11" s="233"/>
      <c r="W11" s="233"/>
      <c r="X11" s="233"/>
      <c r="Y11" s="233"/>
      <c r="Z11" s="233"/>
      <c r="AA11" s="233"/>
      <c r="AB11" s="233"/>
      <c r="AC11" s="233"/>
    </row>
    <row r="12" spans="1:29" ht="16.5" customHeight="1">
      <c r="A12" s="254" t="s">
        <v>82</v>
      </c>
      <c r="B12" s="262">
        <f>'absorbing mode datasheet'!E27</f>
        <v>412.42000000000007</v>
      </c>
      <c r="C12" s="262">
        <f>'absorbing mode datasheet'!E28</f>
        <v>444.55999999999995</v>
      </c>
      <c r="D12" s="262">
        <f>'absorbing mode datasheet'!E29</f>
        <v>492.14400000000001</v>
      </c>
      <c r="E12" s="262">
        <f>'absorbing mode datasheet'!E30</f>
        <v>540.25</v>
      </c>
      <c r="F12" s="262">
        <f>'absorbing mode datasheet'!E31</f>
        <v>636.52800000000002</v>
      </c>
      <c r="G12" s="262">
        <f>'absorbing mode datasheet'!E32</f>
        <v>732.51199999999994</v>
      </c>
      <c r="H12" s="262">
        <f>'absorbing mode datasheet'!E33</f>
        <v>828.09000000000015</v>
      </c>
      <c r="I12" s="262">
        <f>'absorbing mode datasheet'!E34</f>
        <v>923.44</v>
      </c>
      <c r="J12" s="262">
        <f>'absorbing mode datasheet'!E35</f>
        <v>1067.0160000000001</v>
      </c>
      <c r="K12" s="262">
        <f>'absorbing mode datasheet'!E36</f>
        <v>1242.2</v>
      </c>
      <c r="L12" s="409" t="e">
        <f>'absorbing mode datasheet'!E37</f>
        <v>#DIV/0!</v>
      </c>
      <c r="M12" s="409" t="e">
        <f>'absorbing mode datasheet'!E38</f>
        <v>#DIV/0!</v>
      </c>
      <c r="N12" s="409" t="e">
        <f>'absorbing mode datasheet'!E39</f>
        <v>#DIV/0!</v>
      </c>
      <c r="O12" s="409" t="e">
        <f>'absorbing mode datasheet'!E40</f>
        <v>#DIV/0!</v>
      </c>
    </row>
    <row r="13" spans="1:29" s="266" customFormat="1" ht="16.5" customHeight="1">
      <c r="A13" s="263" t="s">
        <v>81</v>
      </c>
      <c r="B13" s="264">
        <f>B12*B11*PI()/30000</f>
        <v>267.76883271999054</v>
      </c>
      <c r="C13" s="264">
        <f t="shared" ref="C13:J13" si="0">C12*C11*PI()/30000</f>
        <v>288.63612888317482</v>
      </c>
      <c r="D13" s="264">
        <f t="shared" si="0"/>
        <v>319.53063481438096</v>
      </c>
      <c r="E13" s="264">
        <f t="shared" si="0"/>
        <v>350.7640557610564</v>
      </c>
      <c r="F13" s="264">
        <f t="shared" si="0"/>
        <v>413.27374897820209</v>
      </c>
      <c r="G13" s="264">
        <f t="shared" si="0"/>
        <v>475.59255902571567</v>
      </c>
      <c r="H13" s="264">
        <f t="shared" si="0"/>
        <v>537.64776850564226</v>
      </c>
      <c r="I13" s="264">
        <f t="shared" si="0"/>
        <v>570.54422293942184</v>
      </c>
      <c r="J13" s="264">
        <f t="shared" si="0"/>
        <v>625.73086368104987</v>
      </c>
      <c r="K13" s="264">
        <f>K12*K11*PI()/30000</f>
        <v>676.43097501013517</v>
      </c>
      <c r="L13" s="410" t="e">
        <f>L12*L11*PI()/30000</f>
        <v>#DIV/0!</v>
      </c>
      <c r="M13" s="410" t="e">
        <f>M12*M11*PI()/30000</f>
        <v>#DIV/0!</v>
      </c>
      <c r="N13" s="410" t="e">
        <f t="shared" ref="N13:O13" si="1">N12*N11*PI()/30000</f>
        <v>#DIV/0!</v>
      </c>
      <c r="O13" s="410" t="e">
        <f t="shared" si="1"/>
        <v>#DIV/0!</v>
      </c>
      <c r="P13" s="265"/>
      <c r="Q13" s="265"/>
      <c r="R13" s="265"/>
      <c r="S13" s="265"/>
      <c r="T13" s="265"/>
      <c r="U13" s="265"/>
      <c r="V13" s="265"/>
      <c r="W13" s="265"/>
      <c r="X13" s="265"/>
      <c r="Y13" s="265"/>
      <c r="Z13" s="265"/>
      <c r="AA13" s="265"/>
      <c r="AB13" s="265"/>
      <c r="AC13" s="265"/>
    </row>
    <row r="14" spans="1:29" s="261" customFormat="1" ht="16.5" customHeight="1">
      <c r="A14" s="259" t="s">
        <v>130</v>
      </c>
      <c r="B14" s="260">
        <f>'absorbing mode datasheet'!$F$21</f>
        <v>400</v>
      </c>
      <c r="C14" s="260">
        <f>'absorbing mode datasheet'!$F$21</f>
        <v>400</v>
      </c>
      <c r="D14" s="260">
        <f>'absorbing mode datasheet'!$F$21</f>
        <v>400</v>
      </c>
      <c r="E14" s="260">
        <f>'absorbing mode datasheet'!$F$21</f>
        <v>400</v>
      </c>
      <c r="F14" s="260">
        <f>'absorbing mode datasheet'!$F$21</f>
        <v>400</v>
      </c>
      <c r="G14" s="260">
        <f>'absorbing mode datasheet'!$F$21</f>
        <v>400</v>
      </c>
      <c r="H14" s="260">
        <f>'absorbing mode datasheet'!$F$21</f>
        <v>400</v>
      </c>
      <c r="I14" s="260">
        <f>'absorbing mode datasheet'!$F$21</f>
        <v>400</v>
      </c>
      <c r="J14" s="260">
        <f>'absorbing mode datasheet'!$F$21</f>
        <v>400</v>
      </c>
      <c r="K14" s="260">
        <f>'absorbing mode datasheet'!$F$21</f>
        <v>400</v>
      </c>
      <c r="L14" s="408">
        <f>'absorbing mode datasheet'!$F$21</f>
        <v>400</v>
      </c>
      <c r="M14" s="408">
        <f>'absorbing mode datasheet'!$F$21</f>
        <v>400</v>
      </c>
      <c r="N14" s="408">
        <f>'absorbing mode datasheet'!$F$21</f>
        <v>400</v>
      </c>
      <c r="O14" s="408">
        <f>'absorbing mode datasheet'!$F$21</f>
        <v>400</v>
      </c>
      <c r="P14" s="233"/>
      <c r="Q14" s="233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</row>
    <row r="15" spans="1:29" s="265" customFormat="1" ht="16.5" customHeight="1">
      <c r="A15" s="267" t="s">
        <v>35</v>
      </c>
      <c r="B15" s="268">
        <f>'absorbing mode datasheet'!C27</f>
        <v>423.59939306151637</v>
      </c>
      <c r="C15" s="268">
        <f>'absorbing mode datasheet'!C28</f>
        <v>466.18115901583298</v>
      </c>
      <c r="D15" s="268">
        <f>'absorbing mode datasheet'!C29</f>
        <v>515.66082283735523</v>
      </c>
      <c r="E15" s="268">
        <f>'absorbing mode datasheet'!C30</f>
        <v>580.25100352450102</v>
      </c>
      <c r="F15" s="268">
        <f>'absorbing mode datasheet'!C31</f>
        <v>666.63123576024145</v>
      </c>
      <c r="G15" s="268">
        <f>'absorbing mode datasheet'!C32</f>
        <v>777.67118882433817</v>
      </c>
      <c r="H15" s="268">
        <f>'absorbing mode datasheet'!C33</f>
        <v>891.29533660212417</v>
      </c>
      <c r="I15" s="268">
        <f>'absorbing mode datasheet'!C34</f>
        <v>960.36102722584099</v>
      </c>
      <c r="J15" s="268">
        <f>'absorbing mode datasheet'!C35</f>
        <v>1055.7431057766598</v>
      </c>
      <c r="K15" s="268">
        <f>'absorbing mode datasheet'!C36</f>
        <v>1158.8952418262465</v>
      </c>
      <c r="L15" s="411">
        <f>'absorbing mode datasheet'!C37</f>
        <v>0</v>
      </c>
      <c r="M15" s="411">
        <f>'absorbing mode datasheet'!C38</f>
        <v>0</v>
      </c>
      <c r="N15" s="411">
        <f>'absorbing mode datasheet'!C39</f>
        <v>0</v>
      </c>
      <c r="O15" s="411">
        <f>'absorbing mode datasheet'!C40</f>
        <v>0</v>
      </c>
    </row>
    <row r="16" spans="1:29" ht="16.5" customHeight="1">
      <c r="A16" s="254" t="s">
        <v>83</v>
      </c>
      <c r="B16" s="268">
        <f>'absorbing mode datasheet'!F27</f>
        <v>20</v>
      </c>
      <c r="C16" s="268">
        <f>'absorbing mode datasheet'!F28</f>
        <v>21.6</v>
      </c>
      <c r="D16" s="268">
        <f>'absorbing mode datasheet'!F29</f>
        <v>24</v>
      </c>
      <c r="E16" s="268">
        <f>'absorbing mode datasheet'!F30</f>
        <v>26.4</v>
      </c>
      <c r="F16" s="268">
        <f>'absorbing mode datasheet'!F31</f>
        <v>31.2</v>
      </c>
      <c r="G16" s="268">
        <f>'absorbing mode datasheet'!F32</f>
        <v>36</v>
      </c>
      <c r="H16" s="268">
        <f>'absorbing mode datasheet'!F33</f>
        <v>40.799999999999997</v>
      </c>
      <c r="I16" s="268">
        <f>'absorbing mode datasheet'!F34</f>
        <v>45.6</v>
      </c>
      <c r="J16" s="268">
        <f>'absorbing mode datasheet'!F35</f>
        <v>52.8</v>
      </c>
      <c r="K16" s="268">
        <f>'absorbing mode datasheet'!F36</f>
        <v>61.6</v>
      </c>
      <c r="L16" s="411" t="e">
        <f>'absorbing mode datasheet'!F37</f>
        <v>#DIV/0!</v>
      </c>
      <c r="M16" s="411" t="e">
        <f>'absorbing mode datasheet'!F38</f>
        <v>#DIV/0!</v>
      </c>
      <c r="N16" s="411" t="e">
        <f>'absorbing mode datasheet'!F39</f>
        <v>#DIV/0!</v>
      </c>
      <c r="O16" s="411" t="e">
        <f>'absorbing mode datasheet'!F40</f>
        <v>#DIV/0!</v>
      </c>
    </row>
    <row r="17" spans="1:29" ht="16.5" customHeight="1">
      <c r="A17" s="254" t="s">
        <v>133</v>
      </c>
      <c r="B17" s="269">
        <f>B13*B18*1000/B14/B15/3^0.5</f>
        <v>0.8352209161403229</v>
      </c>
      <c r="C17" s="269">
        <f t="shared" ref="C17:M17" si="2">C13*C18*1000/C14/C15/3^0.5</f>
        <v>0.82284333991350511</v>
      </c>
      <c r="D17" s="269">
        <f t="shared" si="2"/>
        <v>0.82982061365472504</v>
      </c>
      <c r="E17" s="269">
        <f t="shared" si="2"/>
        <v>0.81447120006501417</v>
      </c>
      <c r="F17" s="269">
        <f t="shared" si="2"/>
        <v>0.84185843786091064</v>
      </c>
      <c r="G17" s="269">
        <f t="shared" si="2"/>
        <v>0.83615648193342373</v>
      </c>
      <c r="H17" s="269">
        <f t="shared" si="2"/>
        <v>0.82864125126077481</v>
      </c>
      <c r="I17" s="269">
        <f t="shared" si="2"/>
        <v>0.81960562982881935</v>
      </c>
      <c r="J17" s="269">
        <f t="shared" si="2"/>
        <v>0.82073807061694548</v>
      </c>
      <c r="K17" s="269">
        <f t="shared" si="2"/>
        <v>0.81083560881762584</v>
      </c>
      <c r="L17" s="412" t="e">
        <f t="shared" si="2"/>
        <v>#DIV/0!</v>
      </c>
      <c r="M17" s="412" t="e">
        <f t="shared" si="2"/>
        <v>#DIV/0!</v>
      </c>
      <c r="N17" s="412" t="e">
        <f t="shared" ref="N17:O17" si="3">N13*N18*1000/N14/N15/3^0.5</f>
        <v>#DIV/0!</v>
      </c>
      <c r="O17" s="412" t="e">
        <f t="shared" si="3"/>
        <v>#DIV/0!</v>
      </c>
    </row>
    <row r="18" spans="1:29" s="257" customFormat="1" ht="16.5" customHeight="1">
      <c r="A18" s="256" t="s">
        <v>146</v>
      </c>
      <c r="B18" s="270">
        <f>(B13*1000-3*B23/1000*B15^2-3*B24/1000*(B15^2-B32^2)-3*(2*PI()*B16*B28/1000*B32)^2/B25)/B13/1000</f>
        <v>0.91541343948153764</v>
      </c>
      <c r="C18" s="270">
        <f t="shared" ref="C18:M18" si="4">(C13*1000-3*C23/1000*C15^2-3*C24/1000*(C15^2-C32^2)-3*(2*PI()*C16*C28/1000*C32)^2/C25)/C13/1000</f>
        <v>0.92075016006463817</v>
      </c>
      <c r="D18" s="270">
        <f t="shared" si="4"/>
        <v>0.92780449602043036</v>
      </c>
      <c r="E18" s="270">
        <f t="shared" si="4"/>
        <v>0.93346312827712907</v>
      </c>
      <c r="F18" s="270">
        <f t="shared" si="4"/>
        <v>0.94082213599320574</v>
      </c>
      <c r="G18" s="270">
        <f t="shared" si="4"/>
        <v>0.94725986717402788</v>
      </c>
      <c r="H18" s="270">
        <f t="shared" si="4"/>
        <v>0.95172385437121643</v>
      </c>
      <c r="I18" s="270">
        <f t="shared" si="4"/>
        <v>0.95580823237836043</v>
      </c>
      <c r="J18" s="270">
        <f t="shared" si="4"/>
        <v>0.95939151906466824</v>
      </c>
      <c r="K18" s="270">
        <f t="shared" si="4"/>
        <v>0.96244102048425684</v>
      </c>
      <c r="L18" s="413" t="e">
        <f t="shared" si="4"/>
        <v>#DIV/0!</v>
      </c>
      <c r="M18" s="413" t="e">
        <f t="shared" si="4"/>
        <v>#DIV/0!</v>
      </c>
      <c r="N18" s="413" t="e">
        <f t="shared" ref="N18:O18" si="5">(N13*1000-3*N23/1000*N15^2-3*N24/1000*(N15^2-N32^2)-3*(2*PI()*N16*N28/1000*N32)^2/N25)/N13/1000</f>
        <v>#DIV/0!</v>
      </c>
      <c r="O18" s="413" t="e">
        <f t="shared" si="5"/>
        <v>#DIV/0!</v>
      </c>
      <c r="P18" s="233"/>
      <c r="Q18" s="233"/>
      <c r="R18" s="233"/>
      <c r="S18" s="233"/>
      <c r="T18" s="233"/>
      <c r="U18" s="233"/>
      <c r="V18" s="233"/>
      <c r="W18" s="233"/>
      <c r="X18" s="233"/>
      <c r="Y18" s="233"/>
      <c r="Z18" s="233"/>
      <c r="AA18" s="233"/>
      <c r="AB18" s="233"/>
      <c r="AC18" s="233"/>
    </row>
    <row r="19" spans="1:29" ht="16.5" customHeight="1">
      <c r="A19" s="254" t="s">
        <v>147</v>
      </c>
      <c r="B19" s="271">
        <f>'driving mode parameters'!B19</f>
        <v>13.89</v>
      </c>
      <c r="C19" s="271">
        <f>'driving mode parameters'!C19</f>
        <v>13.89</v>
      </c>
      <c r="D19" s="271">
        <f>'driving mode parameters'!D19</f>
        <v>13.89</v>
      </c>
      <c r="E19" s="271">
        <f>'driving mode parameters'!E19</f>
        <v>13.89</v>
      </c>
      <c r="F19" s="271">
        <f>'driving mode parameters'!F19</f>
        <v>13.89</v>
      </c>
      <c r="G19" s="271">
        <f>'driving mode parameters'!G19</f>
        <v>13.89</v>
      </c>
      <c r="H19" s="271">
        <f>'driving mode parameters'!H19</f>
        <v>13.89</v>
      </c>
      <c r="I19" s="271">
        <f>'driving mode parameters'!I19</f>
        <v>13.89</v>
      </c>
      <c r="J19" s="271">
        <f>'driving mode parameters'!J19</f>
        <v>13.89</v>
      </c>
      <c r="K19" s="271">
        <f>'driving mode parameters'!K19</f>
        <v>13.89</v>
      </c>
      <c r="L19" s="414">
        <f>'driving mode parameters'!L19</f>
        <v>0</v>
      </c>
      <c r="M19" s="414">
        <f>'driving mode parameters'!M19</f>
        <v>0</v>
      </c>
      <c r="N19" s="414">
        <f>'driving mode parameters'!N19</f>
        <v>0</v>
      </c>
      <c r="O19" s="414">
        <f>'driving mode parameters'!O19</f>
        <v>0</v>
      </c>
    </row>
    <row r="20" spans="1:29" s="253" customFormat="1" ht="16.5" customHeight="1">
      <c r="A20" s="272"/>
      <c r="B20" s="250" t="str">
        <f>'driving mode parameters'!B20</f>
        <v>ESQUEMA EQUIVALENTE POR FASE EN ESTRELLA / PHASE STAR EQUIVALENT SCHEMA</v>
      </c>
      <c r="C20" s="273"/>
      <c r="D20" s="273"/>
      <c r="E20" s="273"/>
      <c r="F20" s="273"/>
      <c r="G20" s="273"/>
      <c r="H20" s="273"/>
      <c r="I20" s="273"/>
      <c r="J20" s="273"/>
      <c r="K20" s="273"/>
      <c r="L20" s="415"/>
      <c r="M20" s="415"/>
      <c r="N20" s="415"/>
      <c r="O20" s="415"/>
      <c r="P20" s="252"/>
      <c r="Q20" s="252"/>
      <c r="R20" s="252"/>
      <c r="S20" s="252"/>
      <c r="T20" s="252"/>
      <c r="U20" s="252"/>
      <c r="V20" s="252"/>
      <c r="W20" s="252"/>
      <c r="X20" s="252"/>
      <c r="Y20" s="252"/>
      <c r="Z20" s="252"/>
      <c r="AA20" s="252"/>
      <c r="AB20" s="252"/>
      <c r="AC20" s="252"/>
    </row>
    <row r="21" spans="1:29" s="261" customFormat="1" ht="16.5" customHeight="1">
      <c r="A21" s="259"/>
      <c r="B21" s="255" t="str">
        <f>'driving mode parameters'!B21</f>
        <v>MAC QT 315 L</v>
      </c>
      <c r="C21" s="255" t="str">
        <f>'driving mode parameters'!C21</f>
        <v>MAC QI 315 L</v>
      </c>
      <c r="D21" s="255" t="str">
        <f>'driving mode parameters'!D21</f>
        <v>MAC QI 315 L</v>
      </c>
      <c r="E21" s="255" t="str">
        <f>'driving mode parameters'!E21</f>
        <v>MAC QI 315 L</v>
      </c>
      <c r="F21" s="255" t="str">
        <f>'driving mode parameters'!F21</f>
        <v>MAC QI 315 L</v>
      </c>
      <c r="G21" s="255" t="str">
        <f>'driving mode parameters'!G21</f>
        <v>MAC QI 315 L</v>
      </c>
      <c r="H21" s="255" t="str">
        <f>'driving mode parameters'!H21</f>
        <v>MAC QI 315 L</v>
      </c>
      <c r="I21" s="255" t="str">
        <f>'driving mode parameters'!I21</f>
        <v>MAC QI 315 L</v>
      </c>
      <c r="J21" s="255" t="str">
        <f>'driving mode parameters'!J21</f>
        <v>MAC QI 315 L</v>
      </c>
      <c r="K21" s="255" t="str">
        <f>'driving mode parameters'!K21</f>
        <v>MAC QI 315 L</v>
      </c>
      <c r="L21" s="405">
        <f>'driving mode parameters'!L21</f>
        <v>0</v>
      </c>
      <c r="M21" s="405">
        <f>'driving mode parameters'!M21</f>
        <v>0</v>
      </c>
      <c r="N21" s="405">
        <f>'driving mode parameters'!N21</f>
        <v>0</v>
      </c>
      <c r="O21" s="405">
        <f>'driving mode parameters'!O21</f>
        <v>0</v>
      </c>
      <c r="P21" s="233"/>
      <c r="Q21" s="233"/>
      <c r="R21" s="233"/>
      <c r="S21" s="233"/>
      <c r="T21" s="233"/>
      <c r="U21" s="233"/>
      <c r="V21" s="233"/>
      <c r="W21" s="233"/>
      <c r="X21" s="233"/>
      <c r="Y21" s="233"/>
      <c r="Z21" s="233"/>
      <c r="AA21" s="233"/>
      <c r="AB21" s="233"/>
      <c r="AC21" s="233"/>
    </row>
    <row r="22" spans="1:29" s="257" customFormat="1" ht="16.5" customHeight="1">
      <c r="A22" s="256"/>
      <c r="B22" s="384" t="str">
        <f>'driving mode parameters'!B22</f>
        <v>A61</v>
      </c>
      <c r="C22" s="384" t="str">
        <f>'driving mode parameters'!C22</f>
        <v>B61</v>
      </c>
      <c r="D22" s="384" t="str">
        <f>'driving mode parameters'!D22</f>
        <v>C61</v>
      </c>
      <c r="E22" s="384" t="str">
        <f>'driving mode parameters'!E22</f>
        <v>D61</v>
      </c>
      <c r="F22" s="384" t="str">
        <f>'driving mode parameters'!F22</f>
        <v>E61</v>
      </c>
      <c r="G22" s="384" t="str">
        <f>'driving mode parameters'!G22</f>
        <v>F61</v>
      </c>
      <c r="H22" s="384" t="str">
        <f>'driving mode parameters'!H22</f>
        <v>C62</v>
      </c>
      <c r="I22" s="384" t="str">
        <f>'driving mode parameters'!I22</f>
        <v>D62</v>
      </c>
      <c r="J22" s="384" t="str">
        <f>'driving mode parameters'!J22</f>
        <v>E62</v>
      </c>
      <c r="K22" s="384" t="str">
        <f>'driving mode parameters'!K22</f>
        <v>F62</v>
      </c>
      <c r="L22" s="406">
        <f>'driving mode parameters'!L22</f>
        <v>0</v>
      </c>
      <c r="M22" s="406">
        <f>'driving mode parameters'!M22</f>
        <v>0</v>
      </c>
      <c r="N22" s="406">
        <f>'driving mode parameters'!N22</f>
        <v>0</v>
      </c>
      <c r="O22" s="406">
        <f>'driving mode parameters'!O22</f>
        <v>0</v>
      </c>
      <c r="P22" s="233"/>
      <c r="Q22" s="233"/>
      <c r="R22" s="233"/>
      <c r="S22" s="233"/>
      <c r="T22" s="233"/>
      <c r="U22" s="233"/>
      <c r="V22" s="233"/>
      <c r="W22" s="233"/>
      <c r="X22" s="233"/>
      <c r="Y22" s="233"/>
      <c r="Z22" s="233"/>
      <c r="AA22" s="233"/>
      <c r="AB22" s="233"/>
      <c r="AC22" s="233"/>
    </row>
    <row r="23" spans="1:29" s="261" customFormat="1" ht="16.5" customHeight="1">
      <c r="A23" s="259" t="s">
        <v>148</v>
      </c>
      <c r="B23" s="274">
        <f>'driving mode parameters'!B23</f>
        <v>20.779778534682695</v>
      </c>
      <c r="C23" s="274">
        <f>'driving mode parameters'!C23</f>
        <v>17.222349491438802</v>
      </c>
      <c r="D23" s="274">
        <f>'driving mode parameters'!D23</f>
        <v>13.9828385388504</v>
      </c>
      <c r="E23" s="274">
        <f>'driving mode parameters'!E23</f>
        <v>11.003619379536509</v>
      </c>
      <c r="F23" s="274">
        <f>'driving mode parameters'!F23</f>
        <v>8.4492520937382363</v>
      </c>
      <c r="G23" s="274">
        <f>'driving mode parameters'!G23</f>
        <v>6.0976267432573108</v>
      </c>
      <c r="H23" s="274">
        <f>'driving mode parameters'!H23</f>
        <v>4.6609461796167979</v>
      </c>
      <c r="I23" s="274">
        <f>'driving mode parameters'!I23</f>
        <v>3.667873126512168</v>
      </c>
      <c r="J23" s="274">
        <f>'driving mode parameters'!J23</f>
        <v>2.8164173645794119</v>
      </c>
      <c r="K23" s="274">
        <f>'driving mode parameters'!K23</f>
        <v>2.0325422477524375</v>
      </c>
      <c r="L23" s="416">
        <f>'driving mode parameters'!L23</f>
        <v>0</v>
      </c>
      <c r="M23" s="416">
        <f>'driving mode parameters'!M23</f>
        <v>0</v>
      </c>
      <c r="N23" s="416">
        <f>'driving mode parameters'!N23</f>
        <v>0</v>
      </c>
      <c r="O23" s="416">
        <f>'driving mode parameters'!O23</f>
        <v>0</v>
      </c>
      <c r="P23" s="233"/>
      <c r="Q23" s="233"/>
      <c r="R23" s="233"/>
      <c r="S23" s="233"/>
      <c r="T23" s="233"/>
      <c r="U23" s="233"/>
      <c r="V23" s="233"/>
      <c r="W23" s="233"/>
      <c r="X23" s="233"/>
      <c r="Y23" s="233"/>
      <c r="Z23" s="233"/>
      <c r="AA23" s="233"/>
      <c r="AB23" s="233"/>
      <c r="AC23" s="233"/>
    </row>
    <row r="24" spans="1:29" ht="16.5" customHeight="1">
      <c r="A24" s="254" t="s">
        <v>149</v>
      </c>
      <c r="B24" s="268">
        <f>'driving mode parameters'!B24</f>
        <v>18.251806198430852</v>
      </c>
      <c r="C24" s="268">
        <f>'driving mode parameters'!C24</f>
        <v>15.006759744480101</v>
      </c>
      <c r="D24" s="268">
        <f>'driving mode parameters'!D24</f>
        <v>12.094651030462654</v>
      </c>
      <c r="E24" s="268">
        <f>'driving mode parameters'!E24</f>
        <v>9.5095529549730902</v>
      </c>
      <c r="F24" s="268">
        <f>'driving mode parameters'!F24</f>
        <v>7.245986830298083</v>
      </c>
      <c r="G24" s="268">
        <f>'driving mode parameters'!G24</f>
        <v>5.2987451175068303</v>
      </c>
      <c r="H24" s="268">
        <f>'driving mode parameters'!H24</f>
        <v>3.9559379328133821</v>
      </c>
      <c r="I24" s="268">
        <f>'driving mode parameters'!I24</f>
        <v>3.1117458155759379</v>
      </c>
      <c r="J24" s="268">
        <f>'driving mode parameters'!J24</f>
        <v>2.3720453513241808</v>
      </c>
      <c r="K24" s="268">
        <f>'driving mode parameters'!K24</f>
        <v>1.735296760806581</v>
      </c>
      <c r="L24" s="411">
        <f>'driving mode parameters'!L24</f>
        <v>0</v>
      </c>
      <c r="M24" s="411">
        <f>'driving mode parameters'!M24</f>
        <v>0</v>
      </c>
      <c r="N24" s="411">
        <f>'driving mode parameters'!N24</f>
        <v>0</v>
      </c>
      <c r="O24" s="411">
        <f>'driving mode parameters'!O24</f>
        <v>0</v>
      </c>
    </row>
    <row r="25" spans="1:29" ht="16.5" customHeight="1">
      <c r="A25" s="254" t="s">
        <v>150</v>
      </c>
      <c r="B25" s="268">
        <f>'driving mode parameters'!B25</f>
        <v>56.054575776324988</v>
      </c>
      <c r="C25" s="268">
        <f>'driving mode parameters'!C25</f>
        <v>50.418093944139528</v>
      </c>
      <c r="D25" s="268">
        <f>'driving mode parameters'!D25</f>
        <v>44.029135151446766</v>
      </c>
      <c r="E25" s="268">
        <f>'driving mode parameters'!E25</f>
        <v>38.352581059788484</v>
      </c>
      <c r="F25" s="268">
        <f>'driving mode parameters'!F25</f>
        <v>32.627246149994782</v>
      </c>
      <c r="G25" s="268">
        <f>'driving mode parameters'!G25</f>
        <v>26.803988453838304</v>
      </c>
      <c r="H25" s="268">
        <f>'driving mode parameters'!H25</f>
        <v>22.116623766826507</v>
      </c>
      <c r="I25" s="268">
        <f>'driving mode parameters'!I25</f>
        <v>18.876745537266732</v>
      </c>
      <c r="J25" s="268">
        <f>'driving mode parameters'!J25</f>
        <v>15.747610052003482</v>
      </c>
      <c r="K25" s="268">
        <f>'driving mode parameters'!K25</f>
        <v>12.686709598665599</v>
      </c>
      <c r="L25" s="411">
        <f>'driving mode parameters'!L25</f>
        <v>0</v>
      </c>
      <c r="M25" s="411">
        <f>'driving mode parameters'!M25</f>
        <v>0</v>
      </c>
      <c r="N25" s="411">
        <f>'driving mode parameters'!N25</f>
        <v>0</v>
      </c>
      <c r="O25" s="411">
        <f>'driving mode parameters'!O25</f>
        <v>0</v>
      </c>
    </row>
    <row r="26" spans="1:29" ht="16.5" customHeight="1">
      <c r="A26" s="254" t="s">
        <v>151</v>
      </c>
      <c r="B26" s="275">
        <f>'driving mode parameters'!B26</f>
        <v>0.70089962084343105</v>
      </c>
      <c r="C26" s="275">
        <f>'driving mode parameters'!C26</f>
        <v>0.57925472858976135</v>
      </c>
      <c r="D26" s="275">
        <f>'driving mode parameters'!D26</f>
        <v>0.46919726855177446</v>
      </c>
      <c r="E26" s="275">
        <f>'driving mode parameters'!E26</f>
        <v>0.37072374920842394</v>
      </c>
      <c r="F26" s="275">
        <f>'driving mode parameters'!F26</f>
        <v>0.28383538459837271</v>
      </c>
      <c r="G26" s="275">
        <f>'driving mode parameters'!G26</f>
        <v>0.20853211935634416</v>
      </c>
      <c r="H26" s="275">
        <f>'driving mode parameters'!H26</f>
        <v>0.15639908951725812</v>
      </c>
      <c r="I26" s="275">
        <f>'driving mode parameters'!I26</f>
        <v>0.12357458306947457</v>
      </c>
      <c r="J26" s="275">
        <f>'driving mode parameters'!J26</f>
        <v>9.4611794866124213E-2</v>
      </c>
      <c r="K26" s="275">
        <f>'driving mode parameters'!K26</f>
        <v>6.9510706452114698E-2</v>
      </c>
      <c r="L26" s="417">
        <f>'driving mode parameters'!L26</f>
        <v>0</v>
      </c>
      <c r="M26" s="417">
        <f>'driving mode parameters'!M26</f>
        <v>0</v>
      </c>
      <c r="N26" s="417">
        <f>'driving mode parameters'!N26</f>
        <v>0</v>
      </c>
      <c r="O26" s="417">
        <f>'driving mode parameters'!O26</f>
        <v>0</v>
      </c>
    </row>
    <row r="27" spans="1:29" ht="16.5" customHeight="1">
      <c r="A27" s="254" t="s">
        <v>152</v>
      </c>
      <c r="B27" s="275">
        <f>'driving mode parameters'!B27</f>
        <v>0.57046953310213477</v>
      </c>
      <c r="C27" s="275">
        <f>'driving mode parameters'!C27</f>
        <v>0.46842361299026158</v>
      </c>
      <c r="D27" s="275">
        <f>'driving mode parameters'!D27</f>
        <v>0.38263137350883397</v>
      </c>
      <c r="E27" s="275">
        <f>'driving mode parameters'!E27</f>
        <v>0.30037723666478472</v>
      </c>
      <c r="F27" s="275">
        <f>'driving mode parameters'!F27</f>
        <v>0.22829367211423904</v>
      </c>
      <c r="G27" s="275">
        <f>'driving mode parameters'!G27</f>
        <v>0.16748884888044202</v>
      </c>
      <c r="H27" s="275">
        <f>'driving mode parameters'!H27</f>
        <v>0.12634984042141995</v>
      </c>
      <c r="I27" s="275">
        <f>'driving mode parameters'!I27</f>
        <v>0.10067237976436771</v>
      </c>
      <c r="J27" s="275">
        <f>'driving mode parameters'!J27</f>
        <v>7.7326396178771115E-2</v>
      </c>
      <c r="K27" s="275">
        <f>'driving mode parameters'!K27</f>
        <v>5.7400884816279467E-2</v>
      </c>
      <c r="L27" s="417">
        <f>'driving mode parameters'!L27</f>
        <v>0</v>
      </c>
      <c r="M27" s="417">
        <f>'driving mode parameters'!M27</f>
        <v>0</v>
      </c>
      <c r="N27" s="417">
        <f>'driving mode parameters'!N27</f>
        <v>0</v>
      </c>
      <c r="O27" s="417">
        <f>'driving mode parameters'!O27</f>
        <v>0</v>
      </c>
    </row>
    <row r="28" spans="1:29" ht="16.5" customHeight="1">
      <c r="A28" s="254" t="s">
        <v>153</v>
      </c>
      <c r="B28" s="275">
        <f>'driving mode parameters'!B28</f>
        <v>12.582190650957775</v>
      </c>
      <c r="C28" s="275">
        <f>'driving mode parameters'!C28</f>
        <v>10.609447133863862</v>
      </c>
      <c r="D28" s="275">
        <f>'driving mode parameters'!D28</f>
        <v>8.2729963139986573</v>
      </c>
      <c r="E28" s="275">
        <f>'driving mode parameters'!E28</f>
        <v>6.6694262224280854</v>
      </c>
      <c r="F28" s="275">
        <f>'driving mode parameters'!F28</f>
        <v>5.1986684690112108</v>
      </c>
      <c r="G28" s="275">
        <f>'driving mode parameters'!G28</f>
        <v>3.8360301787262152</v>
      </c>
      <c r="H28" s="275">
        <f>'driving mode parameters'!H28</f>
        <v>2.8188793076561045</v>
      </c>
      <c r="I28" s="275">
        <f>'driving mode parameters'!I28</f>
        <v>2.214584317694722</v>
      </c>
      <c r="J28" s="275">
        <f>'driving mode parameters'!J28</f>
        <v>1.7145460587745998</v>
      </c>
      <c r="K28" s="275">
        <f>'driving mode parameters'!K28</f>
        <v>1.269766773409243</v>
      </c>
      <c r="L28" s="417">
        <f>'driving mode parameters'!L28</f>
        <v>0</v>
      </c>
      <c r="M28" s="417">
        <f>'driving mode parameters'!M28</f>
        <v>0</v>
      </c>
      <c r="N28" s="417">
        <f>'driving mode parameters'!N28</f>
        <v>0</v>
      </c>
      <c r="O28" s="417">
        <f>'driving mode parameters'!O28</f>
        <v>0</v>
      </c>
    </row>
    <row r="29" spans="1:29" ht="16.5" customHeight="1">
      <c r="A29" s="254" t="s">
        <v>154</v>
      </c>
      <c r="B29" s="275">
        <f>'driving mode parameters'!B29</f>
        <v>0.63923156108862922</v>
      </c>
      <c r="C29" s="275">
        <f>'driving mode parameters'!C29</f>
        <v>0.64966175886835342</v>
      </c>
      <c r="D29" s="275">
        <f>'driving mode parameters'!D29</f>
        <v>0.62520879135240104</v>
      </c>
      <c r="E29" s="275">
        <f>'driving mode parameters'!E29</f>
        <v>0.63980311648448285</v>
      </c>
      <c r="F29" s="275">
        <f>'driving mode parameters'!F29</f>
        <v>0.64887445572522118</v>
      </c>
      <c r="G29" s="275">
        <f>'driving mode parameters'!G29</f>
        <v>0.66330106259045651</v>
      </c>
      <c r="H29" s="275">
        <f>'driving mode parameters'!H29</f>
        <v>0.63834214824981661</v>
      </c>
      <c r="I29" s="275">
        <f>'driving mode parameters'!I29</f>
        <v>0.63746995059984113</v>
      </c>
      <c r="J29" s="275">
        <f>'driving mode parameters'!J29</f>
        <v>0.64236141858573337</v>
      </c>
      <c r="K29" s="275">
        <f>'driving mode parameters'!K29</f>
        <v>0.65891741307828444</v>
      </c>
      <c r="L29" s="417">
        <f>'driving mode parameters'!L29</f>
        <v>0</v>
      </c>
      <c r="M29" s="417">
        <f>'driving mode parameters'!M29</f>
        <v>0</v>
      </c>
      <c r="N29" s="417">
        <f>'driving mode parameters'!N29</f>
        <v>0</v>
      </c>
      <c r="O29" s="417">
        <f>'driving mode parameters'!O29</f>
        <v>0</v>
      </c>
    </row>
    <row r="30" spans="1:29" ht="16.5" customHeight="1">
      <c r="A30" s="254" t="s">
        <v>155</v>
      </c>
      <c r="B30" s="275">
        <f>'driving mode parameters'!B30</f>
        <v>0.72062238887845909</v>
      </c>
      <c r="C30" s="275">
        <f>'driving mode parameters'!C30</f>
        <v>0.73819205048104208</v>
      </c>
      <c r="D30" s="275">
        <f>'driving mode parameters'!D30</f>
        <v>0.71565749732726203</v>
      </c>
      <c r="E30" s="275">
        <f>'driving mode parameters'!E30</f>
        <v>0.73292651001516973</v>
      </c>
      <c r="F30" s="275">
        <f>'driving mode parameters'!F30</f>
        <v>0.74896108262760919</v>
      </c>
      <c r="G30" s="275">
        <f>'driving mode parameters'!G30</f>
        <v>0.75555984272185484</v>
      </c>
      <c r="H30" s="275">
        <f>'driving mode parameters'!H30</f>
        <v>0.74450843215908047</v>
      </c>
      <c r="I30" s="275">
        <f>'driving mode parameters'!I30</f>
        <v>0.74403785999164929</v>
      </c>
      <c r="J30" s="275">
        <f>'driving mode parameters'!J30</f>
        <v>0.7554123929178117</v>
      </c>
      <c r="K30" s="275">
        <f>'driving mode parameters'!K30</f>
        <v>0.76480731607465435</v>
      </c>
      <c r="L30" s="417">
        <f>'driving mode parameters'!L30</f>
        <v>0</v>
      </c>
      <c r="M30" s="417">
        <f>'driving mode parameters'!M30</f>
        <v>0</v>
      </c>
      <c r="N30" s="417">
        <f>'driving mode parameters'!N30</f>
        <v>0</v>
      </c>
      <c r="O30" s="417">
        <f>'driving mode parameters'!O30</f>
        <v>0</v>
      </c>
    </row>
    <row r="31" spans="1:29" ht="16.5" customHeight="1">
      <c r="A31" s="254" t="s">
        <v>156</v>
      </c>
      <c r="B31" s="276">
        <f>'driving mode parameters'!B31</f>
        <v>63.263681289333164</v>
      </c>
      <c r="C31" s="276">
        <f>'driving mode parameters'!C31</f>
        <v>57.512380127887837</v>
      </c>
      <c r="D31" s="276">
        <f>'driving mode parameters'!D31</f>
        <v>51.761193876292936</v>
      </c>
      <c r="E31" s="276">
        <f>'driving mode parameters'!E31</f>
        <v>46.009948962011634</v>
      </c>
      <c r="F31" s="276">
        <f>'driving mode parameters'!F31</f>
        <v>40.2587063424766</v>
      </c>
      <c r="G31" s="276">
        <f>'driving mode parameters'!G31</f>
        <v>34.507462584195288</v>
      </c>
      <c r="H31" s="276">
        <f>'driving mode parameters'!H31</f>
        <v>29.884339218054137</v>
      </c>
      <c r="I31" s="276">
        <f>'driving mode parameters'!I31</f>
        <v>26.563856418618368</v>
      </c>
      <c r="J31" s="276">
        <f>'driving mode parameters'!J31</f>
        <v>23.24337494405496</v>
      </c>
      <c r="K31" s="276">
        <f>'driving mode parameters'!K31</f>
        <v>19.922892812036086</v>
      </c>
      <c r="L31" s="418">
        <f>'driving mode parameters'!L31</f>
        <v>0</v>
      </c>
      <c r="M31" s="418">
        <f>'driving mode parameters'!M31</f>
        <v>0</v>
      </c>
      <c r="N31" s="418">
        <f>'driving mode parameters'!N31</f>
        <v>0</v>
      </c>
      <c r="O31" s="418">
        <f>'driving mode parameters'!O31</f>
        <v>0</v>
      </c>
    </row>
    <row r="32" spans="1:29" s="278" customFormat="1" ht="16.5" customHeight="1">
      <c r="A32" s="277" t="s">
        <v>157</v>
      </c>
      <c r="B32" s="61">
        <f>'driving mode parameters'!B32</f>
        <v>143.98229509386394</v>
      </c>
      <c r="C32" s="61">
        <f>'driving mode parameters'!C32</f>
        <v>154.15789590655314</v>
      </c>
      <c r="D32" s="61">
        <f>'driving mode parameters'!D32</f>
        <v>180.23626791066553</v>
      </c>
      <c r="E32" s="61">
        <f>'driving mode parameters'!E32</f>
        <v>197.40415462803315</v>
      </c>
      <c r="F32" s="61">
        <f>'driving mode parameters'!F32</f>
        <v>218.8233229067647</v>
      </c>
      <c r="G32" s="61">
        <f>'driving mode parameters'!G32</f>
        <v>253.86340501447495</v>
      </c>
      <c r="H32" s="61">
        <f>'driving mode parameters'!H32</f>
        <v>303.1701328119147</v>
      </c>
      <c r="I32" s="61">
        <f>'driving mode parameters'!I32</f>
        <v>343.683599423874</v>
      </c>
      <c r="J32" s="61">
        <f>'driving mode parameters'!J32</f>
        <v>384.51693197301643</v>
      </c>
      <c r="K32" s="61">
        <f>'driving mode parameters'!K32</f>
        <v>443.82808629612254</v>
      </c>
      <c r="L32" s="419">
        <f>'driving mode parameters'!L32</f>
        <v>0</v>
      </c>
      <c r="M32" s="419">
        <f>'driving mode parameters'!M32</f>
        <v>0</v>
      </c>
      <c r="N32" s="419">
        <f>'driving mode parameters'!N32</f>
        <v>0</v>
      </c>
      <c r="O32" s="419">
        <f>'driving mode parameters'!O32</f>
        <v>0</v>
      </c>
      <c r="P32" s="265"/>
      <c r="Q32" s="265"/>
      <c r="R32" s="265"/>
      <c r="S32" s="265"/>
      <c r="T32" s="265"/>
      <c r="U32" s="265"/>
      <c r="V32" s="265"/>
      <c r="W32" s="265"/>
      <c r="X32" s="265"/>
      <c r="Y32" s="265"/>
      <c r="Z32" s="265"/>
      <c r="AA32" s="265"/>
      <c r="AB32" s="265"/>
      <c r="AC32" s="265"/>
    </row>
    <row r="33" spans="1:15" ht="16.5" customHeight="1">
      <c r="A33" s="277" t="s">
        <v>184</v>
      </c>
      <c r="B33" s="61">
        <f>RESUM!B33</f>
        <v>0</v>
      </c>
      <c r="C33" s="61">
        <f>RESUM!C33</f>
        <v>0</v>
      </c>
      <c r="D33" s="61">
        <f>RESUM!D33</f>
        <v>0</v>
      </c>
      <c r="E33" s="61">
        <f>RESUM!E33</f>
        <v>0</v>
      </c>
      <c r="F33" s="61">
        <f>RESUM!F33</f>
        <v>0</v>
      </c>
      <c r="G33" s="61">
        <f>RESUM!G33</f>
        <v>0</v>
      </c>
      <c r="H33" s="61">
        <f>RESUM!H33</f>
        <v>0</v>
      </c>
      <c r="I33" s="62">
        <f>RESUM!I33</f>
        <v>0</v>
      </c>
      <c r="J33" s="61">
        <f>RESUM!J33</f>
        <v>0</v>
      </c>
      <c r="K33" s="61">
        <f>RESUM!K33</f>
        <v>0</v>
      </c>
      <c r="L33" s="419">
        <f>RESUM!M33</f>
        <v>0</v>
      </c>
      <c r="M33" s="419">
        <f>RESUM!N33</f>
        <v>0</v>
      </c>
      <c r="N33" s="419">
        <f>RESUM!O33</f>
        <v>0</v>
      </c>
      <c r="O33" s="419">
        <f>RESUM!P33</f>
        <v>0</v>
      </c>
    </row>
    <row r="34" spans="1:15" ht="16.5" customHeight="1">
      <c r="B34" s="237"/>
      <c r="C34" s="237"/>
      <c r="D34" s="237"/>
      <c r="E34" s="237"/>
      <c r="F34" s="237"/>
      <c r="G34" s="237"/>
      <c r="H34" s="237"/>
      <c r="I34" s="281"/>
      <c r="J34" s="280"/>
      <c r="K34" s="280"/>
      <c r="L34" s="280"/>
      <c r="M34" s="280"/>
    </row>
    <row r="35" spans="1:15" ht="16.5" customHeight="1">
      <c r="B35" s="279"/>
      <c r="C35" s="279"/>
      <c r="D35" s="279"/>
      <c r="E35" s="279"/>
      <c r="F35" s="279"/>
      <c r="G35" s="279"/>
      <c r="H35" s="279"/>
      <c r="I35" s="279"/>
    </row>
    <row r="36" spans="1:15" ht="16.5" customHeight="1">
      <c r="B36" s="237"/>
      <c r="C36" s="237"/>
      <c r="D36" s="237"/>
      <c r="E36" s="237"/>
      <c r="F36" s="237"/>
      <c r="G36" s="237"/>
      <c r="H36" s="237"/>
      <c r="I36" s="237"/>
    </row>
    <row r="37" spans="1:15" ht="16.5" customHeight="1">
      <c r="B37" s="237"/>
      <c r="C37" s="237"/>
      <c r="D37" s="237"/>
      <c r="E37" s="237"/>
      <c r="F37" s="237"/>
      <c r="G37" s="237"/>
      <c r="H37" s="237"/>
      <c r="I37" s="237"/>
    </row>
    <row r="38" spans="1:15" ht="16.5" customHeight="1">
      <c r="B38" s="237"/>
      <c r="C38" s="237"/>
      <c r="D38" s="237"/>
      <c r="E38" s="237"/>
      <c r="F38" s="237"/>
      <c r="G38" s="237"/>
      <c r="H38" s="237"/>
      <c r="I38" s="237"/>
    </row>
    <row r="39" spans="1:15" ht="16.5" customHeight="1">
      <c r="B39" s="237"/>
      <c r="C39" s="237"/>
      <c r="D39" s="237"/>
      <c r="E39" s="237"/>
      <c r="F39" s="237"/>
      <c r="G39" s="237"/>
      <c r="H39" s="237"/>
      <c r="I39" s="237"/>
    </row>
    <row r="40" spans="1:15" ht="16.5" customHeight="1">
      <c r="B40" s="237"/>
      <c r="C40" s="237"/>
      <c r="D40" s="237"/>
      <c r="E40" s="237"/>
      <c r="F40" s="237"/>
      <c r="G40" s="237"/>
      <c r="H40" s="237"/>
      <c r="I40" s="237"/>
    </row>
    <row r="41" spans="1:15" ht="16.5" customHeight="1">
      <c r="B41" s="237"/>
      <c r="C41" s="237"/>
      <c r="D41" s="237"/>
      <c r="E41" s="237"/>
      <c r="F41" s="237"/>
      <c r="G41" s="237"/>
      <c r="H41" s="237"/>
      <c r="I41" s="237"/>
    </row>
    <row r="42" spans="1:15" ht="16.5" customHeight="1">
      <c r="B42" s="237"/>
      <c r="C42" s="237"/>
      <c r="D42" s="237"/>
      <c r="E42" s="237"/>
      <c r="F42" s="237"/>
      <c r="G42" s="237"/>
      <c r="H42" s="237"/>
      <c r="I42" s="237"/>
    </row>
    <row r="43" spans="1:15" ht="16.5" customHeight="1">
      <c r="B43" s="237"/>
      <c r="C43" s="237"/>
      <c r="D43" s="237"/>
      <c r="E43" s="237"/>
      <c r="F43" s="237"/>
      <c r="G43" s="237"/>
      <c r="H43" s="237"/>
      <c r="I43" s="237"/>
    </row>
    <row r="44" spans="1:15" ht="16.5" customHeight="1">
      <c r="B44" s="237"/>
      <c r="C44" s="237"/>
      <c r="D44" s="237"/>
      <c r="E44" s="237"/>
      <c r="F44" s="237"/>
      <c r="G44" s="237"/>
      <c r="H44" s="237"/>
      <c r="I44" s="237"/>
    </row>
    <row r="45" spans="1:15" ht="16.5" customHeight="1">
      <c r="B45" s="237"/>
      <c r="C45" s="237"/>
      <c r="D45" s="237"/>
      <c r="E45" s="237"/>
      <c r="F45" s="237"/>
      <c r="G45" s="237"/>
      <c r="H45" s="237"/>
      <c r="I45" s="237"/>
    </row>
    <row r="46" spans="1:15" ht="16.5" customHeight="1">
      <c r="B46" s="237"/>
      <c r="C46" s="237"/>
      <c r="D46" s="237"/>
      <c r="E46" s="237"/>
      <c r="F46" s="237"/>
      <c r="G46" s="237"/>
      <c r="H46" s="237"/>
      <c r="I46" s="237"/>
    </row>
    <row r="47" spans="1:15" ht="16.5" customHeight="1">
      <c r="B47" s="237"/>
      <c r="C47" s="237"/>
      <c r="D47" s="237"/>
      <c r="E47" s="237"/>
      <c r="F47" s="237"/>
      <c r="G47" s="237"/>
      <c r="H47" s="237"/>
      <c r="I47" s="237"/>
    </row>
    <row r="48" spans="1:15" ht="16.5" customHeight="1">
      <c r="B48" s="237"/>
      <c r="C48" s="237"/>
      <c r="D48" s="237"/>
      <c r="E48" s="237"/>
      <c r="F48" s="237"/>
      <c r="G48" s="237"/>
      <c r="H48" s="237"/>
      <c r="I48" s="237"/>
    </row>
    <row r="49" spans="1:12" ht="16.5" customHeight="1">
      <c r="B49" s="237"/>
      <c r="C49" s="237"/>
      <c r="D49" s="237"/>
      <c r="E49" s="237"/>
      <c r="F49" s="237"/>
      <c r="G49" s="237"/>
      <c r="H49" s="237"/>
      <c r="I49" s="237"/>
    </row>
    <row r="50" spans="1:12" ht="16.5" customHeight="1">
      <c r="B50" s="237"/>
      <c r="C50" s="237"/>
      <c r="D50" s="237"/>
      <c r="E50" s="237"/>
      <c r="F50" s="237"/>
      <c r="G50" s="237"/>
      <c r="H50" s="237"/>
      <c r="I50" s="237"/>
    </row>
    <row r="51" spans="1:12" ht="15" customHeight="1">
      <c r="B51" s="237"/>
      <c r="C51" s="237"/>
      <c r="D51" s="237"/>
      <c r="E51" s="237"/>
      <c r="F51" s="237"/>
      <c r="G51" s="237"/>
      <c r="H51" s="237"/>
      <c r="I51" s="237"/>
    </row>
    <row r="52" spans="1:12" ht="15" customHeight="1">
      <c r="B52" s="237"/>
      <c r="C52" s="237"/>
      <c r="D52" s="237"/>
      <c r="E52" s="237"/>
      <c r="F52" s="237"/>
      <c r="G52" s="237"/>
      <c r="H52" s="237"/>
      <c r="I52" s="237"/>
    </row>
    <row r="53" spans="1:12" s="283" customFormat="1" ht="15" customHeight="1">
      <c r="B53" s="282"/>
      <c r="C53" s="282"/>
      <c r="D53" s="282"/>
      <c r="E53" s="282"/>
      <c r="F53" s="282"/>
      <c r="G53" s="282"/>
      <c r="H53" s="282"/>
      <c r="I53" s="282"/>
    </row>
    <row r="54" spans="1:12" s="283" customFormat="1" ht="15" customHeight="1">
      <c r="B54" s="282"/>
      <c r="C54" s="282"/>
      <c r="D54" s="282"/>
      <c r="E54" s="282"/>
      <c r="F54" s="282"/>
      <c r="G54" s="282"/>
      <c r="H54" s="282"/>
      <c r="I54" s="282"/>
    </row>
    <row r="55" spans="1:12" s="283" customFormat="1" ht="15" customHeight="1">
      <c r="B55" s="282"/>
      <c r="C55" s="282"/>
      <c r="D55" s="282"/>
      <c r="E55" s="282"/>
      <c r="F55" s="282"/>
      <c r="G55" s="282"/>
      <c r="H55" s="282"/>
      <c r="I55" s="282"/>
    </row>
    <row r="56" spans="1:12" s="283" customFormat="1" ht="15" customHeight="1">
      <c r="B56" s="282"/>
      <c r="C56" s="282"/>
      <c r="D56" s="282"/>
      <c r="E56" s="282"/>
      <c r="F56" s="282"/>
      <c r="G56" s="282"/>
      <c r="H56" s="282"/>
      <c r="I56" s="282"/>
    </row>
    <row r="57" spans="1:12" s="283" customFormat="1" ht="15" customHeight="1">
      <c r="B57" s="282"/>
      <c r="C57" s="282"/>
      <c r="D57" s="282"/>
      <c r="E57" s="282"/>
      <c r="F57" s="282"/>
      <c r="G57" s="282"/>
      <c r="H57" s="282"/>
      <c r="I57" s="282"/>
    </row>
    <row r="58" spans="1:12" s="283" customFormat="1" ht="15" customHeight="1">
      <c r="B58" s="282"/>
      <c r="C58" s="282"/>
      <c r="D58" s="282"/>
      <c r="E58" s="282"/>
      <c r="F58" s="282"/>
      <c r="G58" s="282"/>
      <c r="H58" s="282"/>
      <c r="I58" s="282"/>
    </row>
    <row r="59" spans="1:12" s="283" customFormat="1" ht="15" customHeight="1">
      <c r="B59" s="282"/>
      <c r="C59" s="282"/>
      <c r="D59" s="282"/>
      <c r="E59" s="282"/>
      <c r="F59" s="282"/>
      <c r="G59" s="282"/>
      <c r="H59" s="282"/>
      <c r="I59" s="282"/>
    </row>
    <row r="60" spans="1:12" s="283" customFormat="1" ht="15" customHeight="1">
      <c r="B60" s="282"/>
      <c r="C60" s="282"/>
      <c r="D60" s="282"/>
      <c r="E60" s="282"/>
      <c r="F60" s="282"/>
      <c r="G60" s="282"/>
      <c r="H60" s="282"/>
      <c r="I60" s="282"/>
    </row>
    <row r="61" spans="1:12" s="293" customFormat="1" ht="15" customHeight="1">
      <c r="A61" s="293" t="s">
        <v>158</v>
      </c>
      <c r="B61" s="294">
        <f>B16*20-B12</f>
        <v>-12.420000000000073</v>
      </c>
      <c r="C61" s="294">
        <f t="shared" ref="C61:L61" si="6">C16*20-C12</f>
        <v>-12.559999999999945</v>
      </c>
      <c r="D61" s="294">
        <f t="shared" si="6"/>
        <v>-12.144000000000005</v>
      </c>
      <c r="E61" s="294">
        <f t="shared" si="6"/>
        <v>-12.25</v>
      </c>
      <c r="F61" s="294">
        <f t="shared" si="6"/>
        <v>-12.52800000000002</v>
      </c>
      <c r="G61" s="294">
        <f t="shared" si="6"/>
        <v>-12.511999999999944</v>
      </c>
      <c r="H61" s="294">
        <f t="shared" si="6"/>
        <v>-12.090000000000146</v>
      </c>
      <c r="I61" s="294">
        <f t="shared" si="6"/>
        <v>-11.440000000000055</v>
      </c>
      <c r="J61" s="293">
        <f t="shared" si="6"/>
        <v>-11.016000000000076</v>
      </c>
      <c r="K61" s="293">
        <f t="shared" si="6"/>
        <v>-10.200000000000045</v>
      </c>
      <c r="L61" s="293" t="e">
        <f t="shared" si="6"/>
        <v>#DIV/0!</v>
      </c>
    </row>
    <row r="62" spans="1:12" s="295" customFormat="1" ht="15" customHeight="1">
      <c r="A62" s="295" t="s">
        <v>159</v>
      </c>
      <c r="B62" s="296"/>
      <c r="C62" s="296"/>
      <c r="D62" s="296"/>
      <c r="E62" s="296"/>
      <c r="F62" s="296"/>
      <c r="G62" s="296"/>
      <c r="H62" s="296"/>
      <c r="I62" s="296"/>
    </row>
    <row r="63" spans="1:12" s="293" customFormat="1" ht="15" customHeight="1">
      <c r="A63" s="293" t="s">
        <v>160</v>
      </c>
      <c r="B63" s="294">
        <f>2*PI()*B16*B28/1000*B32</f>
        <v>227.65396437450786</v>
      </c>
      <c r="C63" s="294">
        <f t="shared" ref="C63:L63" si="7">2*PI()*C16*C28/1000*C32</f>
        <v>221.9689085772761</v>
      </c>
      <c r="D63" s="294">
        <f t="shared" si="7"/>
        <v>224.85167489336871</v>
      </c>
      <c r="E63" s="294">
        <f t="shared" si="7"/>
        <v>218.38789220421461</v>
      </c>
      <c r="F63" s="294">
        <f t="shared" si="7"/>
        <v>223.00787191254179</v>
      </c>
      <c r="G63" s="294">
        <f t="shared" si="7"/>
        <v>220.27463240339182</v>
      </c>
      <c r="H63" s="294">
        <f t="shared" si="7"/>
        <v>219.08009828163623</v>
      </c>
      <c r="I63" s="294">
        <f t="shared" si="7"/>
        <v>218.06990747792585</v>
      </c>
      <c r="J63" s="293">
        <f t="shared" si="7"/>
        <v>218.71492275871663</v>
      </c>
      <c r="K63" s="293">
        <f t="shared" si="7"/>
        <v>218.12192447185643</v>
      </c>
      <c r="L63" s="293" t="e">
        <f t="shared" si="7"/>
        <v>#DIV/0!</v>
      </c>
    </row>
    <row r="64" spans="1:12" s="293" customFormat="1" ht="15" customHeight="1">
      <c r="A64" s="293" t="s">
        <v>161</v>
      </c>
      <c r="B64" s="294">
        <f>B23/1000*(B15^2-B32^2)^0.5</f>
        <v>8.2782200084719815</v>
      </c>
      <c r="C64" s="294">
        <f t="shared" ref="C64:L64" si="8">C23/1000*(C15^2-C32^2)^0.5</f>
        <v>7.5770551324207087</v>
      </c>
      <c r="D64" s="294">
        <f t="shared" si="8"/>
        <v>6.7556210364276001</v>
      </c>
      <c r="E64" s="294">
        <f t="shared" si="8"/>
        <v>6.0040130353069383</v>
      </c>
      <c r="F64" s="294">
        <f t="shared" si="8"/>
        <v>5.3204368013029937</v>
      </c>
      <c r="G64" s="294">
        <f t="shared" si="8"/>
        <v>4.4821739651683341</v>
      </c>
      <c r="H64" s="294">
        <f t="shared" si="8"/>
        <v>3.9065715541911814</v>
      </c>
      <c r="I64" s="294">
        <f t="shared" si="8"/>
        <v>3.2891945191568102</v>
      </c>
      <c r="J64" s="293">
        <f t="shared" si="8"/>
        <v>2.7691846153263411</v>
      </c>
      <c r="K64" s="293">
        <f t="shared" si="8"/>
        <v>2.1759167524123875</v>
      </c>
      <c r="L64" s="293">
        <f t="shared" si="8"/>
        <v>0</v>
      </c>
    </row>
    <row r="65" spans="1:12" s="293" customFormat="1" ht="15" customHeight="1">
      <c r="A65" s="293" t="s">
        <v>162</v>
      </c>
      <c r="B65" s="294">
        <f t="shared" ref="B65:L65" si="9">B23/1000*B32</f>
        <v>2.9919202049658238</v>
      </c>
      <c r="C65" s="294">
        <f t="shared" si="9"/>
        <v>2.6549611601675012</v>
      </c>
      <c r="D65" s="294">
        <f t="shared" si="9"/>
        <v>2.5202146330398194</v>
      </c>
      <c r="E65" s="294">
        <f t="shared" si="9"/>
        <v>2.1721601814660474</v>
      </c>
      <c r="F65" s="294">
        <f t="shared" si="9"/>
        <v>1.8488934192287398</v>
      </c>
      <c r="G65" s="294">
        <f t="shared" si="9"/>
        <v>1.5479642875506245</v>
      </c>
      <c r="H65" s="294">
        <f t="shared" si="9"/>
        <v>1.4130596723036111</v>
      </c>
      <c r="I65" s="294">
        <f t="shared" si="9"/>
        <v>1.2605878383498001</v>
      </c>
      <c r="J65" s="293">
        <f t="shared" si="9"/>
        <v>1.082960164183604</v>
      </c>
      <c r="K65" s="293">
        <f t="shared" si="9"/>
        <v>0.9020993361359837</v>
      </c>
      <c r="L65" s="293">
        <f t="shared" si="9"/>
        <v>0</v>
      </c>
    </row>
    <row r="66" spans="1:12" s="293" customFormat="1" ht="15" customHeight="1">
      <c r="A66" s="293" t="s">
        <v>163</v>
      </c>
      <c r="B66" s="294">
        <f>2*PI()*B16*B26/1000*B32</f>
        <v>12.681621328115099</v>
      </c>
      <c r="C66" s="294">
        <f t="shared" ref="C66:L66" si="10">2*PI()*C16*C26/1000*C32</f>
        <v>12.119061273503819</v>
      </c>
      <c r="D66" s="294">
        <f t="shared" si="10"/>
        <v>12.75230734851713</v>
      </c>
      <c r="E66" s="294">
        <f t="shared" si="10"/>
        <v>12.139211902129196</v>
      </c>
      <c r="F66" s="294">
        <f t="shared" si="10"/>
        <v>12.175718738379205</v>
      </c>
      <c r="G66" s="294">
        <f t="shared" si="10"/>
        <v>11.974445923356056</v>
      </c>
      <c r="H66" s="294">
        <f t="shared" si="10"/>
        <v>12.155159608833968</v>
      </c>
      <c r="I66" s="294">
        <f t="shared" si="10"/>
        <v>12.168377460847855</v>
      </c>
      <c r="J66" s="293">
        <f t="shared" si="10"/>
        <v>12.069090416268763</v>
      </c>
      <c r="K66" s="293">
        <f t="shared" si="10"/>
        <v>11.94062514490362</v>
      </c>
      <c r="L66" s="293" t="e">
        <f t="shared" si="10"/>
        <v>#DIV/0!</v>
      </c>
    </row>
    <row r="67" spans="1:12" s="293" customFormat="1" ht="15" customHeight="1">
      <c r="A67" s="293" t="s">
        <v>164</v>
      </c>
      <c r="B67" s="294">
        <f t="shared" ref="B67:L67" si="11">2*PI()*B16*B26/1000*(B15^2-B32^2)^0.5</f>
        <v>35.088252435350832</v>
      </c>
      <c r="C67" s="294">
        <f t="shared" si="11"/>
        <v>34.586869593500886</v>
      </c>
      <c r="D67" s="294">
        <f t="shared" si="11"/>
        <v>34.183499554845817</v>
      </c>
      <c r="E67" s="294">
        <f t="shared" si="11"/>
        <v>33.553688683099573</v>
      </c>
      <c r="F67" s="294">
        <f t="shared" si="11"/>
        <v>35.037250597716991</v>
      </c>
      <c r="G67" s="294">
        <f t="shared" si="11"/>
        <v>34.672343668798845</v>
      </c>
      <c r="H67" s="294">
        <f t="shared" si="11"/>
        <v>33.604384652144908</v>
      </c>
      <c r="I67" s="294">
        <f t="shared" si="11"/>
        <v>31.750393930221094</v>
      </c>
      <c r="J67" s="293">
        <f t="shared" si="11"/>
        <v>30.861282443301199</v>
      </c>
      <c r="K67" s="293">
        <f t="shared" si="11"/>
        <v>28.80149141707809</v>
      </c>
      <c r="L67" s="293" t="e">
        <f t="shared" si="11"/>
        <v>#DIV/0!</v>
      </c>
    </row>
    <row r="68" spans="1:12" s="293" customFormat="1" ht="15" customHeight="1">
      <c r="A68" s="293" t="s">
        <v>165</v>
      </c>
      <c r="B68" s="294">
        <f>B63+B66-B64</f>
        <v>232.05736569415097</v>
      </c>
      <c r="C68" s="294">
        <f t="shared" ref="C68:L68" si="12">C63+C66-C64</f>
        <v>226.51091471835923</v>
      </c>
      <c r="D68" s="294">
        <f t="shared" si="12"/>
        <v>230.84836120545822</v>
      </c>
      <c r="E68" s="294">
        <f t="shared" si="12"/>
        <v>224.52309107103687</v>
      </c>
      <c r="F68" s="294">
        <f t="shared" si="12"/>
        <v>229.86315384961799</v>
      </c>
      <c r="G68" s="294">
        <f t="shared" si="12"/>
        <v>227.76690436157955</v>
      </c>
      <c r="H68" s="294">
        <f t="shared" si="12"/>
        <v>227.32868633627902</v>
      </c>
      <c r="I68" s="294">
        <f t="shared" si="12"/>
        <v>226.94909041961691</v>
      </c>
      <c r="J68" s="293">
        <f t="shared" si="12"/>
        <v>228.01482855965904</v>
      </c>
      <c r="K68" s="293">
        <f t="shared" si="12"/>
        <v>227.88663286434769</v>
      </c>
      <c r="L68" s="293" t="e">
        <f t="shared" si="12"/>
        <v>#DIV/0!</v>
      </c>
    </row>
    <row r="69" spans="1:12" s="293" customFormat="1" ht="15" customHeight="1">
      <c r="A69" s="293" t="s">
        <v>166</v>
      </c>
      <c r="B69" s="294">
        <f>B65-B67</f>
        <v>-32.096332230385009</v>
      </c>
      <c r="C69" s="294">
        <f t="shared" ref="C69:L69" si="13">C65-C67</f>
        <v>-31.931908433333383</v>
      </c>
      <c r="D69" s="294">
        <f t="shared" si="13"/>
        <v>-31.663284921805996</v>
      </c>
      <c r="E69" s="294">
        <f t="shared" si="13"/>
        <v>-31.381528501633525</v>
      </c>
      <c r="F69" s="294">
        <f t="shared" si="13"/>
        <v>-33.188357178488253</v>
      </c>
      <c r="G69" s="294">
        <f t="shared" si="13"/>
        <v>-33.124379381248218</v>
      </c>
      <c r="H69" s="294">
        <f t="shared" si="13"/>
        <v>-32.191324979841298</v>
      </c>
      <c r="I69" s="294">
        <f t="shared" si="13"/>
        <v>-30.489806091871294</v>
      </c>
      <c r="J69" s="293">
        <f t="shared" si="13"/>
        <v>-29.778322279117596</v>
      </c>
      <c r="K69" s="293">
        <f t="shared" si="13"/>
        <v>-27.899392080942107</v>
      </c>
      <c r="L69" s="293" t="e">
        <f t="shared" si="13"/>
        <v>#DIV/0!</v>
      </c>
    </row>
    <row r="70" spans="1:12" s="293" customFormat="1" ht="15" customHeight="1">
      <c r="A70" s="293" t="s">
        <v>130</v>
      </c>
      <c r="B70" s="294">
        <f>3^0.5*(B68^2+B69^2)^0.5</f>
        <v>405.76148972845675</v>
      </c>
      <c r="C70" s="294">
        <f t="shared" ref="C70:L70" si="14">3^0.5*(C68^2+C69^2)^0.5</f>
        <v>396.20767759879129</v>
      </c>
      <c r="D70" s="294">
        <f t="shared" si="14"/>
        <v>403.58467320979315</v>
      </c>
      <c r="E70" s="294">
        <f t="shared" si="14"/>
        <v>392.66557815216731</v>
      </c>
      <c r="F70" s="294">
        <f t="shared" si="14"/>
        <v>402.26310997865585</v>
      </c>
      <c r="G70" s="294">
        <f t="shared" si="14"/>
        <v>398.6539372633228</v>
      </c>
      <c r="H70" s="294">
        <f t="shared" si="14"/>
        <v>397.67303039810008</v>
      </c>
      <c r="I70" s="294">
        <f t="shared" si="14"/>
        <v>396.61890241569938</v>
      </c>
      <c r="J70" s="293">
        <f t="shared" si="14"/>
        <v>398.28699647684846</v>
      </c>
      <c r="K70" s="293">
        <f t="shared" si="14"/>
        <v>397.65824592256149</v>
      </c>
      <c r="L70" s="293" t="e">
        <f t="shared" si="14"/>
        <v>#DIV/0!</v>
      </c>
    </row>
    <row r="71" spans="1:12" s="293" customFormat="1" ht="15" customHeight="1">
      <c r="B71" s="294"/>
      <c r="C71" s="294"/>
      <c r="D71" s="294"/>
      <c r="E71" s="294"/>
      <c r="F71" s="294"/>
      <c r="G71" s="294"/>
      <c r="H71" s="294"/>
      <c r="I71" s="294"/>
    </row>
    <row r="72" spans="1:12" s="295" customFormat="1" ht="15" customHeight="1">
      <c r="A72" s="295" t="s">
        <v>167</v>
      </c>
      <c r="B72" s="296">
        <f>B14</f>
        <v>400</v>
      </c>
      <c r="C72" s="296"/>
      <c r="D72" s="296"/>
      <c r="E72" s="296"/>
      <c r="F72" s="296"/>
      <c r="G72" s="296"/>
      <c r="H72" s="296"/>
      <c r="I72" s="296"/>
    </row>
    <row r="73" spans="1:12" s="293" customFormat="1" ht="15" customHeight="1">
      <c r="A73" s="293" t="s">
        <v>160</v>
      </c>
      <c r="B73" s="294">
        <f>B63*B74/B16</f>
        <v>224.42145953955188</v>
      </c>
      <c r="C73" s="294">
        <f t="shared" ref="C73:K73" si="15">C63*C74/C16</f>
        <v>224.09349553498225</v>
      </c>
      <c r="D73" s="294">
        <f t="shared" si="15"/>
        <v>222.85452329502644</v>
      </c>
      <c r="E73" s="294">
        <f t="shared" si="15"/>
        <v>222.46706037429547</v>
      </c>
      <c r="F73" s="294">
        <f t="shared" si="15"/>
        <v>221.75324197575523</v>
      </c>
      <c r="G73" s="294">
        <f t="shared" si="15"/>
        <v>221.01839396397972</v>
      </c>
      <c r="H73" s="294">
        <f t="shared" si="15"/>
        <v>220.36203768942624</v>
      </c>
      <c r="I73" s="294">
        <f t="shared" si="15"/>
        <v>219.92891024580072</v>
      </c>
      <c r="J73" s="293">
        <f t="shared" si="15"/>
        <v>219.65559979955816</v>
      </c>
      <c r="K73" s="293">
        <f t="shared" si="15"/>
        <v>219.4064141341434</v>
      </c>
    </row>
    <row r="74" spans="1:12" s="293" customFormat="1" ht="15" customHeight="1">
      <c r="A74" s="293" t="s">
        <v>168</v>
      </c>
      <c r="B74" s="294">
        <f>B16*B14/B70</f>
        <v>19.71601594166502</v>
      </c>
      <c r="C74" s="294">
        <f t="shared" ref="C74:K74" si="16">C16*C14/C70</f>
        <v>21.806745523869065</v>
      </c>
      <c r="D74" s="294">
        <f t="shared" si="16"/>
        <v>23.786829969654686</v>
      </c>
      <c r="E74" s="294">
        <f t="shared" si="16"/>
        <v>26.893113599857603</v>
      </c>
      <c r="F74" s="294">
        <f t="shared" si="16"/>
        <v>31.024470527914406</v>
      </c>
      <c r="G74" s="294">
        <f t="shared" si="16"/>
        <v>36.121554696920931</v>
      </c>
      <c r="H74" s="294">
        <f t="shared" si="16"/>
        <v>41.038739749744842</v>
      </c>
      <c r="I74" s="294">
        <f t="shared" si="16"/>
        <v>45.988730967951987</v>
      </c>
      <c r="J74" s="293">
        <f t="shared" si="16"/>
        <v>53.027088975594161</v>
      </c>
      <c r="K74" s="293">
        <f t="shared" si="16"/>
        <v>61.962753828568424</v>
      </c>
    </row>
    <row r="75" spans="1:12" s="293" customFormat="1" ht="15" customHeight="1">
      <c r="A75" s="293" t="s">
        <v>169</v>
      </c>
      <c r="B75" s="294">
        <f>ROUND(B74,0)</f>
        <v>20</v>
      </c>
      <c r="C75" s="294">
        <f t="shared" ref="C75:K75" si="17">ROUND(C74,0)</f>
        <v>22</v>
      </c>
      <c r="D75" s="294">
        <f t="shared" si="17"/>
        <v>24</v>
      </c>
      <c r="E75" s="294">
        <f t="shared" si="17"/>
        <v>27</v>
      </c>
      <c r="F75" s="294">
        <f t="shared" si="17"/>
        <v>31</v>
      </c>
      <c r="G75" s="294">
        <f t="shared" si="17"/>
        <v>36</v>
      </c>
      <c r="H75" s="294">
        <f t="shared" si="17"/>
        <v>41</v>
      </c>
      <c r="I75" s="294">
        <f t="shared" si="17"/>
        <v>46</v>
      </c>
      <c r="J75" s="293">
        <f t="shared" si="17"/>
        <v>53</v>
      </c>
      <c r="K75" s="293">
        <f t="shared" si="17"/>
        <v>62</v>
      </c>
    </row>
    <row r="76" spans="1:12" s="293" customFormat="1" ht="15" customHeight="1">
      <c r="A76" s="293" t="s">
        <v>170</v>
      </c>
      <c r="B76" s="294">
        <f>B75*20+B61</f>
        <v>387.57999999999993</v>
      </c>
      <c r="C76" s="294">
        <f t="shared" ref="C76:K76" si="18">C75*20+C61</f>
        <v>427.44000000000005</v>
      </c>
      <c r="D76" s="294">
        <f t="shared" si="18"/>
        <v>467.85599999999999</v>
      </c>
      <c r="E76" s="294">
        <f t="shared" si="18"/>
        <v>527.75</v>
      </c>
      <c r="F76" s="294">
        <f t="shared" si="18"/>
        <v>607.47199999999998</v>
      </c>
      <c r="G76" s="294">
        <f t="shared" si="18"/>
        <v>707.48800000000006</v>
      </c>
      <c r="H76" s="294">
        <f t="shared" si="18"/>
        <v>807.90999999999985</v>
      </c>
      <c r="I76" s="294">
        <f t="shared" si="18"/>
        <v>908.56</v>
      </c>
      <c r="J76" s="293">
        <f t="shared" si="18"/>
        <v>1048.9839999999999</v>
      </c>
      <c r="K76" s="293">
        <f t="shared" si="18"/>
        <v>1229.8</v>
      </c>
    </row>
    <row r="77" spans="1:12" s="293" customFormat="1" ht="15" customHeight="1">
      <c r="A77" s="293" t="s">
        <v>171</v>
      </c>
      <c r="B77" s="294">
        <f>B11</f>
        <v>6200</v>
      </c>
      <c r="C77" s="294">
        <f t="shared" ref="C77:K77" si="19">C11</f>
        <v>6200</v>
      </c>
      <c r="D77" s="294">
        <f t="shared" si="19"/>
        <v>6200</v>
      </c>
      <c r="E77" s="294">
        <f t="shared" si="19"/>
        <v>6200</v>
      </c>
      <c r="F77" s="294">
        <f t="shared" si="19"/>
        <v>6200</v>
      </c>
      <c r="G77" s="294">
        <f t="shared" si="19"/>
        <v>6200</v>
      </c>
      <c r="H77" s="294">
        <f t="shared" si="19"/>
        <v>6200</v>
      </c>
      <c r="I77" s="294">
        <f t="shared" si="19"/>
        <v>5900</v>
      </c>
      <c r="J77" s="293">
        <f t="shared" si="19"/>
        <v>5600</v>
      </c>
      <c r="K77" s="293">
        <f t="shared" si="19"/>
        <v>5200</v>
      </c>
    </row>
    <row r="78" spans="1:12" s="293" customFormat="1" ht="15" customHeight="1">
      <c r="A78" s="293" t="s">
        <v>172</v>
      </c>
      <c r="B78" s="294">
        <f>B76*B77*PI()/30000</f>
        <v>251.64115267352187</v>
      </c>
      <c r="C78" s="294">
        <f t="shared" ref="C78:K78" si="20">C76*C77*PI()/30000</f>
        <v>277.52075519575374</v>
      </c>
      <c r="D78" s="294">
        <f t="shared" si="20"/>
        <v>303.76134765783399</v>
      </c>
      <c r="E78" s="294">
        <f t="shared" si="20"/>
        <v>342.64827473928278</v>
      </c>
      <c r="F78" s="294">
        <f t="shared" si="20"/>
        <v>394.40877830870977</v>
      </c>
      <c r="G78" s="294">
        <f t="shared" si="20"/>
        <v>459.34541468260676</v>
      </c>
      <c r="H78" s="294">
        <f t="shared" si="20"/>
        <v>524.54565162409074</v>
      </c>
      <c r="I78" s="294">
        <f t="shared" si="20"/>
        <v>561.35066619795668</v>
      </c>
      <c r="J78" s="293">
        <f t="shared" si="20"/>
        <v>615.15634658487056</v>
      </c>
      <c r="K78" s="293">
        <f t="shared" si="20"/>
        <v>669.67864520001945</v>
      </c>
    </row>
    <row r="79" spans="1:12" s="293" customFormat="1" ht="15" customHeight="1">
      <c r="A79" s="293" t="s">
        <v>173</v>
      </c>
      <c r="B79" s="294">
        <f>(3*B23/1000*B15^2+3*B73^2/B25+3*B24/1000*(B15^2-B32^2)+100)/1000</f>
        <v>22.671434937593776</v>
      </c>
      <c r="C79" s="294">
        <f t="shared" ref="C79:K79" si="21">(3*C23/1000*C15^2+3*C73^2/C25+3*C24/1000*(C15^2-C32^2)+100)/1000</f>
        <v>23.030757386055054</v>
      </c>
      <c r="D79" s="294">
        <f t="shared" si="21"/>
        <v>23.10775166208855</v>
      </c>
      <c r="E79" s="294">
        <f t="shared" si="21"/>
        <v>23.579410555504413</v>
      </c>
      <c r="F79" s="294">
        <f t="shared" si="21"/>
        <v>24.505349926728989</v>
      </c>
      <c r="G79" s="294">
        <f t="shared" si="21"/>
        <v>25.219549952462476</v>
      </c>
      <c r="H79" s="294">
        <f t="shared" si="21"/>
        <v>26.131975738145265</v>
      </c>
      <c r="I79" s="294">
        <f t="shared" si="21"/>
        <v>25.442761541278244</v>
      </c>
      <c r="J79" s="293">
        <f t="shared" si="21"/>
        <v>25.588537499650663</v>
      </c>
      <c r="K79" s="293">
        <f t="shared" si="21"/>
        <v>25.63895226124864</v>
      </c>
    </row>
    <row r="80" spans="1:12" s="293" customFormat="1" ht="15" customHeight="1">
      <c r="A80" s="293" t="s">
        <v>174</v>
      </c>
      <c r="B80" s="294">
        <f>B78-B79</f>
        <v>228.9697177359281</v>
      </c>
      <c r="C80" s="294">
        <f t="shared" ref="C80:K80" si="22">C78-C79</f>
        <v>254.48999780969868</v>
      </c>
      <c r="D80" s="294">
        <f t="shared" si="22"/>
        <v>280.65359599574543</v>
      </c>
      <c r="E80" s="294">
        <f t="shared" si="22"/>
        <v>319.06886418377837</v>
      </c>
      <c r="F80" s="294">
        <f t="shared" si="22"/>
        <v>369.9034283819808</v>
      </c>
      <c r="G80" s="294">
        <f t="shared" si="22"/>
        <v>434.12586473014426</v>
      </c>
      <c r="H80" s="294">
        <f t="shared" si="22"/>
        <v>498.41367588594545</v>
      </c>
      <c r="I80" s="294">
        <f t="shared" si="22"/>
        <v>535.9079046566784</v>
      </c>
      <c r="J80" s="293">
        <f t="shared" si="22"/>
        <v>589.56780908521989</v>
      </c>
      <c r="K80" s="293">
        <f t="shared" si="22"/>
        <v>644.03969293877083</v>
      </c>
    </row>
    <row r="81" spans="1:11" s="293" customFormat="1" ht="15" customHeight="1">
      <c r="A81" s="293" t="s">
        <v>175</v>
      </c>
      <c r="B81" s="294">
        <f>B80/B78</f>
        <v>0.90990569429234969</v>
      </c>
      <c r="C81" s="294">
        <f t="shared" ref="C81:K81" si="23">C80/C78</f>
        <v>0.91701248661632551</v>
      </c>
      <c r="D81" s="294">
        <f t="shared" si="23"/>
        <v>0.92392793935021045</v>
      </c>
      <c r="E81" s="294">
        <f t="shared" si="23"/>
        <v>0.93118479708253099</v>
      </c>
      <c r="F81" s="294">
        <f t="shared" si="23"/>
        <v>0.93786814271271557</v>
      </c>
      <c r="G81" s="294">
        <f t="shared" si="23"/>
        <v>0.94509676346744764</v>
      </c>
      <c r="H81" s="294">
        <f t="shared" si="23"/>
        <v>0.95018169408661413</v>
      </c>
      <c r="I81" s="294">
        <f t="shared" si="23"/>
        <v>0.95467581482782804</v>
      </c>
      <c r="J81" s="293">
        <f t="shared" si="23"/>
        <v>0.95840319677800756</v>
      </c>
      <c r="K81" s="293">
        <f t="shared" si="23"/>
        <v>0.9617145440652497</v>
      </c>
    </row>
    <row r="82" spans="1:11" s="293" customFormat="1" ht="15" customHeight="1">
      <c r="A82" s="293" t="s">
        <v>176</v>
      </c>
      <c r="B82" s="294">
        <f>B80*1000/3^0.5/B14/B15</f>
        <v>0.78019309243859603</v>
      </c>
      <c r="C82" s="294">
        <f t="shared" ref="C82:K82" si="24">C80*1000/3^0.5/C14/C15</f>
        <v>0.78794405297118952</v>
      </c>
      <c r="D82" s="294">
        <f t="shared" si="24"/>
        <v>0.78557174610241709</v>
      </c>
      <c r="E82" s="294">
        <f t="shared" si="24"/>
        <v>0.79368451544071361</v>
      </c>
      <c r="F82" s="294">
        <f t="shared" si="24"/>
        <v>0.80090698010478389</v>
      </c>
      <c r="G82" s="294">
        <f t="shared" si="24"/>
        <v>0.80574762337229744</v>
      </c>
      <c r="H82" s="294">
        <f t="shared" si="24"/>
        <v>0.80713781987675137</v>
      </c>
      <c r="I82" s="294">
        <f t="shared" si="24"/>
        <v>0.80544338077772915</v>
      </c>
      <c r="J82" s="293">
        <f t="shared" si="24"/>
        <v>0.80603683656187131</v>
      </c>
      <c r="K82" s="293">
        <f t="shared" si="24"/>
        <v>0.8021356820419856</v>
      </c>
    </row>
    <row r="83" spans="1:11" s="283" customFormat="1" ht="15" customHeight="1">
      <c r="B83" s="282"/>
      <c r="C83" s="282"/>
      <c r="D83" s="282"/>
      <c r="E83" s="282"/>
      <c r="F83" s="282"/>
      <c r="G83" s="282"/>
      <c r="H83" s="282"/>
      <c r="I83" s="282"/>
    </row>
    <row r="84" spans="1:11" s="283" customFormat="1" ht="15" customHeight="1">
      <c r="B84" s="282"/>
      <c r="C84" s="282"/>
      <c r="D84" s="282"/>
      <c r="E84" s="282"/>
      <c r="F84" s="282"/>
      <c r="G84" s="282"/>
      <c r="H84" s="282"/>
      <c r="I84" s="282"/>
    </row>
    <row r="85" spans="1:11" s="283" customFormat="1" ht="15" customHeight="1">
      <c r="B85" s="282"/>
      <c r="C85" s="282"/>
      <c r="D85" s="282"/>
      <c r="E85" s="282"/>
      <c r="F85" s="282"/>
      <c r="G85" s="282"/>
      <c r="H85" s="282"/>
      <c r="I85" s="282"/>
    </row>
    <row r="86" spans="1:11" s="283" customFormat="1" ht="15" customHeight="1">
      <c r="B86" s="282"/>
      <c r="C86" s="282"/>
      <c r="D86" s="282"/>
      <c r="E86" s="282"/>
      <c r="F86" s="282"/>
      <c r="G86" s="282"/>
      <c r="H86" s="282"/>
      <c r="I86" s="282"/>
    </row>
    <row r="87" spans="1:11" s="283" customFormat="1" ht="15" customHeight="1">
      <c r="B87" s="282"/>
      <c r="C87" s="282"/>
      <c r="D87" s="282"/>
      <c r="E87" s="282"/>
      <c r="F87" s="282"/>
      <c r="G87" s="282"/>
      <c r="H87" s="282"/>
      <c r="I87" s="282"/>
    </row>
    <row r="88" spans="1:11" s="283" customFormat="1" ht="15" customHeight="1">
      <c r="B88" s="282"/>
      <c r="C88" s="282"/>
      <c r="D88" s="282"/>
      <c r="E88" s="282"/>
      <c r="F88" s="282"/>
      <c r="G88" s="282"/>
      <c r="H88" s="282"/>
      <c r="I88" s="282"/>
    </row>
    <row r="89" spans="1:11" s="283" customFormat="1" ht="15" customHeight="1">
      <c r="B89" s="282"/>
      <c r="C89" s="282"/>
      <c r="D89" s="282"/>
      <c r="E89" s="282"/>
      <c r="F89" s="282"/>
      <c r="G89" s="282"/>
      <c r="H89" s="282"/>
      <c r="I89" s="282"/>
    </row>
    <row r="90" spans="1:11" s="283" customFormat="1" ht="15" customHeight="1">
      <c r="B90" s="282"/>
      <c r="C90" s="282"/>
      <c r="D90" s="282"/>
      <c r="E90" s="282"/>
      <c r="F90" s="282"/>
      <c r="G90" s="282"/>
      <c r="H90" s="282"/>
      <c r="I90" s="282"/>
    </row>
    <row r="91" spans="1:11" s="283" customFormat="1" ht="15" customHeight="1">
      <c r="B91" s="282"/>
      <c r="C91" s="282"/>
      <c r="D91" s="282"/>
      <c r="E91" s="282"/>
      <c r="F91" s="282"/>
      <c r="G91" s="282"/>
      <c r="H91" s="282"/>
      <c r="I91" s="282"/>
    </row>
    <row r="92" spans="1:11" s="283" customFormat="1" ht="15" customHeight="1">
      <c r="B92" s="282"/>
      <c r="C92" s="282"/>
      <c r="D92" s="282"/>
      <c r="E92" s="282"/>
      <c r="F92" s="282"/>
      <c r="G92" s="282"/>
      <c r="H92" s="282"/>
      <c r="I92" s="282"/>
    </row>
    <row r="93" spans="1:11" s="283" customFormat="1" ht="15" customHeight="1">
      <c r="B93" s="282"/>
      <c r="C93" s="282"/>
      <c r="D93" s="282"/>
      <c r="E93" s="282"/>
      <c r="F93" s="282"/>
      <c r="G93" s="282"/>
      <c r="H93" s="282"/>
      <c r="I93" s="282"/>
    </row>
    <row r="94" spans="1:11" s="283" customFormat="1" ht="15" customHeight="1">
      <c r="B94" s="282"/>
      <c r="C94" s="282"/>
      <c r="D94" s="282"/>
      <c r="E94" s="282"/>
      <c r="F94" s="282"/>
      <c r="G94" s="282"/>
      <c r="H94" s="282"/>
      <c r="I94" s="282"/>
    </row>
    <row r="95" spans="1:11" s="283" customFormat="1" ht="15" customHeight="1">
      <c r="B95" s="282"/>
      <c r="C95" s="282"/>
      <c r="D95" s="282"/>
      <c r="E95" s="282"/>
      <c r="F95" s="282"/>
      <c r="G95" s="282"/>
      <c r="H95" s="282"/>
      <c r="I95" s="282"/>
    </row>
    <row r="96" spans="1:11" s="283" customFormat="1" ht="15" customHeight="1">
      <c r="B96" s="282"/>
      <c r="C96" s="282"/>
      <c r="D96" s="282"/>
      <c r="E96" s="282"/>
      <c r="F96" s="282"/>
      <c r="G96" s="282"/>
      <c r="H96" s="282"/>
      <c r="I96" s="282"/>
    </row>
    <row r="97" spans="2:9" s="283" customFormat="1" ht="15" customHeight="1">
      <c r="B97" s="282"/>
      <c r="C97" s="282"/>
      <c r="D97" s="282"/>
      <c r="E97" s="282"/>
      <c r="F97" s="282"/>
      <c r="G97" s="282"/>
      <c r="H97" s="282"/>
      <c r="I97" s="282"/>
    </row>
    <row r="98" spans="2:9" s="283" customFormat="1" ht="15" customHeight="1">
      <c r="B98" s="282"/>
      <c r="C98" s="282"/>
      <c r="D98" s="282"/>
      <c r="E98" s="282"/>
      <c r="F98" s="282"/>
      <c r="G98" s="282"/>
      <c r="H98" s="282"/>
      <c r="I98" s="282"/>
    </row>
    <row r="99" spans="2:9" s="283" customFormat="1" ht="15" customHeight="1">
      <c r="B99" s="282"/>
      <c r="C99" s="282"/>
      <c r="D99" s="282"/>
      <c r="E99" s="282"/>
      <c r="F99" s="282"/>
      <c r="G99" s="282"/>
      <c r="H99" s="282"/>
      <c r="I99" s="282"/>
    </row>
    <row r="100" spans="2:9" s="283" customFormat="1" ht="15" customHeight="1">
      <c r="B100" s="282"/>
      <c r="C100" s="282"/>
      <c r="D100" s="282"/>
      <c r="E100" s="282"/>
      <c r="F100" s="282"/>
      <c r="G100" s="282"/>
      <c r="H100" s="282"/>
      <c r="I100" s="282"/>
    </row>
    <row r="101" spans="2:9" s="283" customFormat="1" ht="15" customHeight="1">
      <c r="B101" s="282"/>
      <c r="C101" s="282"/>
      <c r="D101" s="282"/>
      <c r="E101" s="282"/>
      <c r="F101" s="282"/>
      <c r="G101" s="282"/>
      <c r="H101" s="282"/>
      <c r="I101" s="282"/>
    </row>
    <row r="102" spans="2:9" s="283" customFormat="1" ht="15" customHeight="1">
      <c r="B102" s="282"/>
      <c r="C102" s="282"/>
      <c r="D102" s="282"/>
      <c r="E102" s="282"/>
      <c r="F102" s="282"/>
      <c r="G102" s="282"/>
      <c r="H102" s="282"/>
      <c r="I102" s="282"/>
    </row>
    <row r="103" spans="2:9" s="283" customFormat="1" ht="15" customHeight="1">
      <c r="B103" s="282"/>
      <c r="C103" s="282"/>
      <c r="D103" s="282"/>
      <c r="E103" s="282"/>
      <c r="F103" s="282"/>
      <c r="G103" s="282"/>
      <c r="H103" s="282"/>
      <c r="I103" s="282"/>
    </row>
    <row r="104" spans="2:9" s="283" customFormat="1" ht="15" customHeight="1">
      <c r="B104" s="282"/>
      <c r="C104" s="282"/>
      <c r="D104" s="282"/>
      <c r="E104" s="282"/>
      <c r="F104" s="282"/>
      <c r="G104" s="282"/>
      <c r="H104" s="282"/>
      <c r="I104" s="282"/>
    </row>
    <row r="105" spans="2:9" s="283" customFormat="1" ht="15" customHeight="1">
      <c r="B105" s="282"/>
      <c r="C105" s="282"/>
      <c r="D105" s="282"/>
      <c r="E105" s="282"/>
      <c r="F105" s="282"/>
      <c r="G105" s="282"/>
      <c r="H105" s="282"/>
      <c r="I105" s="282"/>
    </row>
    <row r="106" spans="2:9" s="283" customFormat="1" ht="15" customHeight="1">
      <c r="B106" s="282"/>
      <c r="C106" s="282"/>
      <c r="D106" s="282"/>
      <c r="E106" s="282"/>
      <c r="F106" s="282"/>
      <c r="G106" s="282"/>
      <c r="H106" s="282"/>
      <c r="I106" s="282"/>
    </row>
    <row r="107" spans="2:9" s="283" customFormat="1" ht="15" customHeight="1">
      <c r="B107" s="282"/>
      <c r="C107" s="282"/>
      <c r="D107" s="282"/>
      <c r="E107" s="282"/>
      <c r="F107" s="282"/>
      <c r="G107" s="282"/>
      <c r="H107" s="282"/>
      <c r="I107" s="282"/>
    </row>
    <row r="108" spans="2:9" s="283" customFormat="1" ht="15" customHeight="1">
      <c r="B108" s="282"/>
      <c r="C108" s="282"/>
      <c r="D108" s="282"/>
      <c r="E108" s="282"/>
      <c r="F108" s="282"/>
      <c r="G108" s="282"/>
      <c r="H108" s="282"/>
      <c r="I108" s="282"/>
    </row>
    <row r="109" spans="2:9" s="283" customFormat="1" ht="15" customHeight="1">
      <c r="B109" s="282"/>
      <c r="C109" s="282"/>
      <c r="D109" s="282"/>
      <c r="E109" s="282"/>
      <c r="F109" s="282"/>
      <c r="G109" s="282"/>
      <c r="H109" s="282"/>
      <c r="I109" s="282"/>
    </row>
    <row r="110" spans="2:9" s="283" customFormat="1" ht="15" customHeight="1">
      <c r="B110" s="282"/>
      <c r="C110" s="282"/>
      <c r="D110" s="282"/>
      <c r="E110" s="282"/>
      <c r="F110" s="282"/>
      <c r="G110" s="282"/>
      <c r="H110" s="282"/>
      <c r="I110" s="282"/>
    </row>
    <row r="111" spans="2:9" s="283" customFormat="1" ht="15" customHeight="1">
      <c r="B111" s="282"/>
      <c r="C111" s="282"/>
      <c r="D111" s="282"/>
      <c r="E111" s="282"/>
      <c r="F111" s="282"/>
      <c r="G111" s="282"/>
      <c r="H111" s="282"/>
      <c r="I111" s="282"/>
    </row>
    <row r="112" spans="2:9" ht="15" customHeight="1">
      <c r="B112" s="237"/>
      <c r="C112" s="237"/>
      <c r="D112" s="237"/>
      <c r="E112" s="237"/>
      <c r="F112" s="237"/>
      <c r="G112" s="237"/>
      <c r="H112" s="237"/>
      <c r="I112" s="237"/>
    </row>
    <row r="113" spans="2:9" ht="15" customHeight="1">
      <c r="B113" s="237"/>
      <c r="C113" s="237"/>
      <c r="D113" s="237"/>
      <c r="E113" s="237"/>
      <c r="F113" s="237"/>
      <c r="G113" s="237"/>
      <c r="H113" s="237"/>
      <c r="I113" s="237"/>
    </row>
    <row r="114" spans="2:9" ht="15" customHeight="1">
      <c r="B114" s="237"/>
      <c r="C114" s="237"/>
      <c r="D114" s="237"/>
      <c r="E114" s="237"/>
      <c r="F114" s="237"/>
      <c r="G114" s="237"/>
      <c r="H114" s="237"/>
      <c r="I114" s="237"/>
    </row>
    <row r="115" spans="2:9" ht="15" customHeight="1">
      <c r="B115" s="237"/>
      <c r="C115" s="237"/>
      <c r="D115" s="237"/>
      <c r="E115" s="237"/>
      <c r="F115" s="237"/>
      <c r="G115" s="237"/>
      <c r="H115" s="237"/>
      <c r="I115" s="237"/>
    </row>
    <row r="116" spans="2:9" ht="15" customHeight="1">
      <c r="B116" s="237"/>
      <c r="C116" s="237"/>
      <c r="D116" s="237"/>
      <c r="E116" s="237"/>
      <c r="F116" s="237"/>
      <c r="G116" s="237"/>
      <c r="H116" s="237"/>
      <c r="I116" s="237"/>
    </row>
    <row r="117" spans="2:9" ht="15" customHeight="1">
      <c r="B117" s="237"/>
      <c r="C117" s="237"/>
      <c r="D117" s="237"/>
      <c r="E117" s="237"/>
      <c r="F117" s="237"/>
      <c r="G117" s="237"/>
      <c r="H117" s="237"/>
      <c r="I117" s="237"/>
    </row>
    <row r="118" spans="2:9" ht="15" customHeight="1">
      <c r="B118" s="237"/>
      <c r="C118" s="237"/>
      <c r="D118" s="237"/>
      <c r="E118" s="237"/>
      <c r="F118" s="237"/>
      <c r="G118" s="237"/>
      <c r="H118" s="237"/>
      <c r="I118" s="237"/>
    </row>
    <row r="119" spans="2:9" ht="15" customHeight="1">
      <c r="B119" s="237"/>
      <c r="C119" s="237"/>
      <c r="D119" s="237"/>
      <c r="E119" s="237"/>
      <c r="F119" s="237"/>
      <c r="G119" s="237"/>
      <c r="H119" s="237"/>
      <c r="I119" s="237"/>
    </row>
    <row r="120" spans="2:9" ht="15" customHeight="1">
      <c r="B120" s="237"/>
      <c r="C120" s="237"/>
      <c r="D120" s="237"/>
      <c r="E120" s="237"/>
      <c r="F120" s="237"/>
      <c r="G120" s="237"/>
      <c r="H120" s="237"/>
      <c r="I120" s="237"/>
    </row>
    <row r="121" spans="2:9" ht="15" customHeight="1">
      <c r="B121" s="237"/>
      <c r="C121" s="237"/>
      <c r="D121" s="237"/>
      <c r="E121" s="237"/>
      <c r="F121" s="237"/>
      <c r="G121" s="237"/>
      <c r="H121" s="237"/>
      <c r="I121" s="237"/>
    </row>
    <row r="122" spans="2:9" ht="15" customHeight="1">
      <c r="B122" s="237"/>
      <c r="C122" s="237"/>
      <c r="D122" s="237"/>
      <c r="E122" s="237"/>
      <c r="F122" s="237"/>
      <c r="G122" s="237"/>
      <c r="H122" s="237"/>
      <c r="I122" s="237"/>
    </row>
  </sheetData>
  <sheetProtection sheet="1" objects="1" scenarios="1"/>
  <pageMargins left="0.74803149606299213" right="0.39370078740157483" top="0.39370078740157483" bottom="0.59055118110236227" header="0.19685039370078741" footer="0.39370078740157483"/>
  <pageSetup paperSize="9" scale="44" fitToHeight="2" orientation="portrait" horizontalDpi="120" verticalDpi="144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5121" r:id="rId4">
          <objectPr defaultSize="0" autoPict="0" r:id="rId5">
            <anchor moveWithCells="1">
              <from>
                <xdr:col>0</xdr:col>
                <xdr:colOff>104775</xdr:colOff>
                <xdr:row>1</xdr:row>
                <xdr:rowOff>142875</xdr:rowOff>
              </from>
              <to>
                <xdr:col>1</xdr:col>
                <xdr:colOff>723900</xdr:colOff>
                <xdr:row>4</xdr:row>
                <xdr:rowOff>76200</xdr:rowOff>
              </to>
            </anchor>
          </objectPr>
        </oleObject>
      </mc:Choice>
      <mc:Fallback>
        <oleObject progId="Word.Picture.8" shapeId="512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E116"/>
  <sheetViews>
    <sheetView zoomScale="90" zoomScaleNormal="90" workbookViewId="0">
      <selection activeCell="L73" sqref="L73"/>
    </sheetView>
  </sheetViews>
  <sheetFormatPr defaultColWidth="11.42578125" defaultRowHeight="15"/>
  <cols>
    <col min="1" max="1" width="11.42578125" style="297"/>
    <col min="2" max="2" width="16.28515625" style="297" customWidth="1"/>
    <col min="3" max="3" width="14.85546875" style="297" customWidth="1"/>
    <col min="4" max="5" width="11.42578125" style="298"/>
    <col min="6" max="14" width="9.28515625" style="300" customWidth="1"/>
    <col min="15" max="15" width="9.28515625" style="301" hidden="1" customWidth="1"/>
    <col min="16" max="16" width="9.28515625" style="300" hidden="1" customWidth="1"/>
    <col min="17" max="17" width="9.28515625" style="302" hidden="1" customWidth="1"/>
    <col min="18" max="18" width="9.28515625" style="301" hidden="1" customWidth="1"/>
    <col min="19" max="19" width="8.42578125" style="300" hidden="1" customWidth="1"/>
    <col min="20" max="20" width="9.28515625" style="302" hidden="1" customWidth="1"/>
    <col min="21" max="21" width="9.28515625" style="303" customWidth="1"/>
    <col min="22" max="23" width="9.28515625" style="300" hidden="1" customWidth="1"/>
    <col min="24" max="25" width="9.28515625" style="300" customWidth="1"/>
    <col min="26" max="26" width="11.42578125" style="304"/>
    <col min="27" max="28" width="16.42578125" style="305" customWidth="1"/>
    <col min="29" max="257" width="11.42578125" style="297"/>
    <col min="258" max="258" width="16.28515625" style="297" customWidth="1"/>
    <col min="259" max="259" width="14.85546875" style="297" customWidth="1"/>
    <col min="260" max="261" width="11.42578125" style="297"/>
    <col min="262" max="270" width="9.28515625" style="297" customWidth="1"/>
    <col min="271" max="276" width="0" style="297" hidden="1" customWidth="1"/>
    <col min="277" max="277" width="9.28515625" style="297" customWidth="1"/>
    <col min="278" max="279" width="0" style="297" hidden="1" customWidth="1"/>
    <col min="280" max="281" width="9.28515625" style="297" customWidth="1"/>
    <col min="282" max="282" width="11.42578125" style="297"/>
    <col min="283" max="284" width="16.42578125" style="297" customWidth="1"/>
    <col min="285" max="513" width="11.42578125" style="297"/>
    <col min="514" max="514" width="16.28515625" style="297" customWidth="1"/>
    <col min="515" max="515" width="14.85546875" style="297" customWidth="1"/>
    <col min="516" max="517" width="11.42578125" style="297"/>
    <col min="518" max="526" width="9.28515625" style="297" customWidth="1"/>
    <col min="527" max="532" width="0" style="297" hidden="1" customWidth="1"/>
    <col min="533" max="533" width="9.28515625" style="297" customWidth="1"/>
    <col min="534" max="535" width="0" style="297" hidden="1" customWidth="1"/>
    <col min="536" max="537" width="9.28515625" style="297" customWidth="1"/>
    <col min="538" max="538" width="11.42578125" style="297"/>
    <col min="539" max="540" width="16.42578125" style="297" customWidth="1"/>
    <col min="541" max="769" width="11.42578125" style="297"/>
    <col min="770" max="770" width="16.28515625" style="297" customWidth="1"/>
    <col min="771" max="771" width="14.85546875" style="297" customWidth="1"/>
    <col min="772" max="773" width="11.42578125" style="297"/>
    <col min="774" max="782" width="9.28515625" style="297" customWidth="1"/>
    <col min="783" max="788" width="0" style="297" hidden="1" customWidth="1"/>
    <col min="789" max="789" width="9.28515625" style="297" customWidth="1"/>
    <col min="790" max="791" width="0" style="297" hidden="1" customWidth="1"/>
    <col min="792" max="793" width="9.28515625" style="297" customWidth="1"/>
    <col min="794" max="794" width="11.42578125" style="297"/>
    <col min="795" max="796" width="16.42578125" style="297" customWidth="1"/>
    <col min="797" max="1025" width="11.42578125" style="297"/>
    <col min="1026" max="1026" width="16.28515625" style="297" customWidth="1"/>
    <col min="1027" max="1027" width="14.85546875" style="297" customWidth="1"/>
    <col min="1028" max="1029" width="11.42578125" style="297"/>
    <col min="1030" max="1038" width="9.28515625" style="297" customWidth="1"/>
    <col min="1039" max="1044" width="0" style="297" hidden="1" customWidth="1"/>
    <col min="1045" max="1045" width="9.28515625" style="297" customWidth="1"/>
    <col min="1046" max="1047" width="0" style="297" hidden="1" customWidth="1"/>
    <col min="1048" max="1049" width="9.28515625" style="297" customWidth="1"/>
    <col min="1050" max="1050" width="11.42578125" style="297"/>
    <col min="1051" max="1052" width="16.42578125" style="297" customWidth="1"/>
    <col min="1053" max="1281" width="11.42578125" style="297"/>
    <col min="1282" max="1282" width="16.28515625" style="297" customWidth="1"/>
    <col min="1283" max="1283" width="14.85546875" style="297" customWidth="1"/>
    <col min="1284" max="1285" width="11.42578125" style="297"/>
    <col min="1286" max="1294" width="9.28515625" style="297" customWidth="1"/>
    <col min="1295" max="1300" width="0" style="297" hidden="1" customWidth="1"/>
    <col min="1301" max="1301" width="9.28515625" style="297" customWidth="1"/>
    <col min="1302" max="1303" width="0" style="297" hidden="1" customWidth="1"/>
    <col min="1304" max="1305" width="9.28515625" style="297" customWidth="1"/>
    <col min="1306" max="1306" width="11.42578125" style="297"/>
    <col min="1307" max="1308" width="16.42578125" style="297" customWidth="1"/>
    <col min="1309" max="1537" width="11.42578125" style="297"/>
    <col min="1538" max="1538" width="16.28515625" style="297" customWidth="1"/>
    <col min="1539" max="1539" width="14.85546875" style="297" customWidth="1"/>
    <col min="1540" max="1541" width="11.42578125" style="297"/>
    <col min="1542" max="1550" width="9.28515625" style="297" customWidth="1"/>
    <col min="1551" max="1556" width="0" style="297" hidden="1" customWidth="1"/>
    <col min="1557" max="1557" width="9.28515625" style="297" customWidth="1"/>
    <col min="1558" max="1559" width="0" style="297" hidden="1" customWidth="1"/>
    <col min="1560" max="1561" width="9.28515625" style="297" customWidth="1"/>
    <col min="1562" max="1562" width="11.42578125" style="297"/>
    <col min="1563" max="1564" width="16.42578125" style="297" customWidth="1"/>
    <col min="1565" max="1793" width="11.42578125" style="297"/>
    <col min="1794" max="1794" width="16.28515625" style="297" customWidth="1"/>
    <col min="1795" max="1795" width="14.85546875" style="297" customWidth="1"/>
    <col min="1796" max="1797" width="11.42578125" style="297"/>
    <col min="1798" max="1806" width="9.28515625" style="297" customWidth="1"/>
    <col min="1807" max="1812" width="0" style="297" hidden="1" customWidth="1"/>
    <col min="1813" max="1813" width="9.28515625" style="297" customWidth="1"/>
    <col min="1814" max="1815" width="0" style="297" hidden="1" customWidth="1"/>
    <col min="1816" max="1817" width="9.28515625" style="297" customWidth="1"/>
    <col min="1818" max="1818" width="11.42578125" style="297"/>
    <col min="1819" max="1820" width="16.42578125" style="297" customWidth="1"/>
    <col min="1821" max="2049" width="11.42578125" style="297"/>
    <col min="2050" max="2050" width="16.28515625" style="297" customWidth="1"/>
    <col min="2051" max="2051" width="14.85546875" style="297" customWidth="1"/>
    <col min="2052" max="2053" width="11.42578125" style="297"/>
    <col min="2054" max="2062" width="9.28515625" style="297" customWidth="1"/>
    <col min="2063" max="2068" width="0" style="297" hidden="1" customWidth="1"/>
    <col min="2069" max="2069" width="9.28515625" style="297" customWidth="1"/>
    <col min="2070" max="2071" width="0" style="297" hidden="1" customWidth="1"/>
    <col min="2072" max="2073" width="9.28515625" style="297" customWidth="1"/>
    <col min="2074" max="2074" width="11.42578125" style="297"/>
    <col min="2075" max="2076" width="16.42578125" style="297" customWidth="1"/>
    <col min="2077" max="2305" width="11.42578125" style="297"/>
    <col min="2306" max="2306" width="16.28515625" style="297" customWidth="1"/>
    <col min="2307" max="2307" width="14.85546875" style="297" customWidth="1"/>
    <col min="2308" max="2309" width="11.42578125" style="297"/>
    <col min="2310" max="2318" width="9.28515625" style="297" customWidth="1"/>
    <col min="2319" max="2324" width="0" style="297" hidden="1" customWidth="1"/>
    <col min="2325" max="2325" width="9.28515625" style="297" customWidth="1"/>
    <col min="2326" max="2327" width="0" style="297" hidden="1" customWidth="1"/>
    <col min="2328" max="2329" width="9.28515625" style="297" customWidth="1"/>
    <col min="2330" max="2330" width="11.42578125" style="297"/>
    <col min="2331" max="2332" width="16.42578125" style="297" customWidth="1"/>
    <col min="2333" max="2561" width="11.42578125" style="297"/>
    <col min="2562" max="2562" width="16.28515625" style="297" customWidth="1"/>
    <col min="2563" max="2563" width="14.85546875" style="297" customWidth="1"/>
    <col min="2564" max="2565" width="11.42578125" style="297"/>
    <col min="2566" max="2574" width="9.28515625" style="297" customWidth="1"/>
    <col min="2575" max="2580" width="0" style="297" hidden="1" customWidth="1"/>
    <col min="2581" max="2581" width="9.28515625" style="297" customWidth="1"/>
    <col min="2582" max="2583" width="0" style="297" hidden="1" customWidth="1"/>
    <col min="2584" max="2585" width="9.28515625" style="297" customWidth="1"/>
    <col min="2586" max="2586" width="11.42578125" style="297"/>
    <col min="2587" max="2588" width="16.42578125" style="297" customWidth="1"/>
    <col min="2589" max="2817" width="11.42578125" style="297"/>
    <col min="2818" max="2818" width="16.28515625" style="297" customWidth="1"/>
    <col min="2819" max="2819" width="14.85546875" style="297" customWidth="1"/>
    <col min="2820" max="2821" width="11.42578125" style="297"/>
    <col min="2822" max="2830" width="9.28515625" style="297" customWidth="1"/>
    <col min="2831" max="2836" width="0" style="297" hidden="1" customWidth="1"/>
    <col min="2837" max="2837" width="9.28515625" style="297" customWidth="1"/>
    <col min="2838" max="2839" width="0" style="297" hidden="1" customWidth="1"/>
    <col min="2840" max="2841" width="9.28515625" style="297" customWidth="1"/>
    <col min="2842" max="2842" width="11.42578125" style="297"/>
    <col min="2843" max="2844" width="16.42578125" style="297" customWidth="1"/>
    <col min="2845" max="3073" width="11.42578125" style="297"/>
    <col min="3074" max="3074" width="16.28515625" style="297" customWidth="1"/>
    <col min="3075" max="3075" width="14.85546875" style="297" customWidth="1"/>
    <col min="3076" max="3077" width="11.42578125" style="297"/>
    <col min="3078" max="3086" width="9.28515625" style="297" customWidth="1"/>
    <col min="3087" max="3092" width="0" style="297" hidden="1" customWidth="1"/>
    <col min="3093" max="3093" width="9.28515625" style="297" customWidth="1"/>
    <col min="3094" max="3095" width="0" style="297" hidden="1" customWidth="1"/>
    <col min="3096" max="3097" width="9.28515625" style="297" customWidth="1"/>
    <col min="3098" max="3098" width="11.42578125" style="297"/>
    <col min="3099" max="3100" width="16.42578125" style="297" customWidth="1"/>
    <col min="3101" max="3329" width="11.42578125" style="297"/>
    <col min="3330" max="3330" width="16.28515625" style="297" customWidth="1"/>
    <col min="3331" max="3331" width="14.85546875" style="297" customWidth="1"/>
    <col min="3332" max="3333" width="11.42578125" style="297"/>
    <col min="3334" max="3342" width="9.28515625" style="297" customWidth="1"/>
    <col min="3343" max="3348" width="0" style="297" hidden="1" customWidth="1"/>
    <col min="3349" max="3349" width="9.28515625" style="297" customWidth="1"/>
    <col min="3350" max="3351" width="0" style="297" hidden="1" customWidth="1"/>
    <col min="3352" max="3353" width="9.28515625" style="297" customWidth="1"/>
    <col min="3354" max="3354" width="11.42578125" style="297"/>
    <col min="3355" max="3356" width="16.42578125" style="297" customWidth="1"/>
    <col min="3357" max="3585" width="11.42578125" style="297"/>
    <col min="3586" max="3586" width="16.28515625" style="297" customWidth="1"/>
    <col min="3587" max="3587" width="14.85546875" style="297" customWidth="1"/>
    <col min="3588" max="3589" width="11.42578125" style="297"/>
    <col min="3590" max="3598" width="9.28515625" style="297" customWidth="1"/>
    <col min="3599" max="3604" width="0" style="297" hidden="1" customWidth="1"/>
    <col min="3605" max="3605" width="9.28515625" style="297" customWidth="1"/>
    <col min="3606" max="3607" width="0" style="297" hidden="1" customWidth="1"/>
    <col min="3608" max="3609" width="9.28515625" style="297" customWidth="1"/>
    <col min="3610" max="3610" width="11.42578125" style="297"/>
    <col min="3611" max="3612" width="16.42578125" style="297" customWidth="1"/>
    <col min="3613" max="3841" width="11.42578125" style="297"/>
    <col min="3842" max="3842" width="16.28515625" style="297" customWidth="1"/>
    <col min="3843" max="3843" width="14.85546875" style="297" customWidth="1"/>
    <col min="3844" max="3845" width="11.42578125" style="297"/>
    <col min="3846" max="3854" width="9.28515625" style="297" customWidth="1"/>
    <col min="3855" max="3860" width="0" style="297" hidden="1" customWidth="1"/>
    <col min="3861" max="3861" width="9.28515625" style="297" customWidth="1"/>
    <col min="3862" max="3863" width="0" style="297" hidden="1" customWidth="1"/>
    <col min="3864" max="3865" width="9.28515625" style="297" customWidth="1"/>
    <col min="3866" max="3866" width="11.42578125" style="297"/>
    <col min="3867" max="3868" width="16.42578125" style="297" customWidth="1"/>
    <col min="3869" max="4097" width="11.42578125" style="297"/>
    <col min="4098" max="4098" width="16.28515625" style="297" customWidth="1"/>
    <col min="4099" max="4099" width="14.85546875" style="297" customWidth="1"/>
    <col min="4100" max="4101" width="11.42578125" style="297"/>
    <col min="4102" max="4110" width="9.28515625" style="297" customWidth="1"/>
    <col min="4111" max="4116" width="0" style="297" hidden="1" customWidth="1"/>
    <col min="4117" max="4117" width="9.28515625" style="297" customWidth="1"/>
    <col min="4118" max="4119" width="0" style="297" hidden="1" customWidth="1"/>
    <col min="4120" max="4121" width="9.28515625" style="297" customWidth="1"/>
    <col min="4122" max="4122" width="11.42578125" style="297"/>
    <col min="4123" max="4124" width="16.42578125" style="297" customWidth="1"/>
    <col min="4125" max="4353" width="11.42578125" style="297"/>
    <col min="4354" max="4354" width="16.28515625" style="297" customWidth="1"/>
    <col min="4355" max="4355" width="14.85546875" style="297" customWidth="1"/>
    <col min="4356" max="4357" width="11.42578125" style="297"/>
    <col min="4358" max="4366" width="9.28515625" style="297" customWidth="1"/>
    <col min="4367" max="4372" width="0" style="297" hidden="1" customWidth="1"/>
    <col min="4373" max="4373" width="9.28515625" style="297" customWidth="1"/>
    <col min="4374" max="4375" width="0" style="297" hidden="1" customWidth="1"/>
    <col min="4376" max="4377" width="9.28515625" style="297" customWidth="1"/>
    <col min="4378" max="4378" width="11.42578125" style="297"/>
    <col min="4379" max="4380" width="16.42578125" style="297" customWidth="1"/>
    <col min="4381" max="4609" width="11.42578125" style="297"/>
    <col min="4610" max="4610" width="16.28515625" style="297" customWidth="1"/>
    <col min="4611" max="4611" width="14.85546875" style="297" customWidth="1"/>
    <col min="4612" max="4613" width="11.42578125" style="297"/>
    <col min="4614" max="4622" width="9.28515625" style="297" customWidth="1"/>
    <col min="4623" max="4628" width="0" style="297" hidden="1" customWidth="1"/>
    <col min="4629" max="4629" width="9.28515625" style="297" customWidth="1"/>
    <col min="4630" max="4631" width="0" style="297" hidden="1" customWidth="1"/>
    <col min="4632" max="4633" width="9.28515625" style="297" customWidth="1"/>
    <col min="4634" max="4634" width="11.42578125" style="297"/>
    <col min="4635" max="4636" width="16.42578125" style="297" customWidth="1"/>
    <col min="4637" max="4865" width="11.42578125" style="297"/>
    <col min="4866" max="4866" width="16.28515625" style="297" customWidth="1"/>
    <col min="4867" max="4867" width="14.85546875" style="297" customWidth="1"/>
    <col min="4868" max="4869" width="11.42578125" style="297"/>
    <col min="4870" max="4878" width="9.28515625" style="297" customWidth="1"/>
    <col min="4879" max="4884" width="0" style="297" hidden="1" customWidth="1"/>
    <col min="4885" max="4885" width="9.28515625" style="297" customWidth="1"/>
    <col min="4886" max="4887" width="0" style="297" hidden="1" customWidth="1"/>
    <col min="4888" max="4889" width="9.28515625" style="297" customWidth="1"/>
    <col min="4890" max="4890" width="11.42578125" style="297"/>
    <col min="4891" max="4892" width="16.42578125" style="297" customWidth="1"/>
    <col min="4893" max="5121" width="11.42578125" style="297"/>
    <col min="5122" max="5122" width="16.28515625" style="297" customWidth="1"/>
    <col min="5123" max="5123" width="14.85546875" style="297" customWidth="1"/>
    <col min="5124" max="5125" width="11.42578125" style="297"/>
    <col min="5126" max="5134" width="9.28515625" style="297" customWidth="1"/>
    <col min="5135" max="5140" width="0" style="297" hidden="1" customWidth="1"/>
    <col min="5141" max="5141" width="9.28515625" style="297" customWidth="1"/>
    <col min="5142" max="5143" width="0" style="297" hidden="1" customWidth="1"/>
    <col min="5144" max="5145" width="9.28515625" style="297" customWidth="1"/>
    <col min="5146" max="5146" width="11.42578125" style="297"/>
    <col min="5147" max="5148" width="16.42578125" style="297" customWidth="1"/>
    <col min="5149" max="5377" width="11.42578125" style="297"/>
    <col min="5378" max="5378" width="16.28515625" style="297" customWidth="1"/>
    <col min="5379" max="5379" width="14.85546875" style="297" customWidth="1"/>
    <col min="5380" max="5381" width="11.42578125" style="297"/>
    <col min="5382" max="5390" width="9.28515625" style="297" customWidth="1"/>
    <col min="5391" max="5396" width="0" style="297" hidden="1" customWidth="1"/>
    <col min="5397" max="5397" width="9.28515625" style="297" customWidth="1"/>
    <col min="5398" max="5399" width="0" style="297" hidden="1" customWidth="1"/>
    <col min="5400" max="5401" width="9.28515625" style="297" customWidth="1"/>
    <col min="5402" max="5402" width="11.42578125" style="297"/>
    <col min="5403" max="5404" width="16.42578125" style="297" customWidth="1"/>
    <col min="5405" max="5633" width="11.42578125" style="297"/>
    <col min="5634" max="5634" width="16.28515625" style="297" customWidth="1"/>
    <col min="5635" max="5635" width="14.85546875" style="297" customWidth="1"/>
    <col min="5636" max="5637" width="11.42578125" style="297"/>
    <col min="5638" max="5646" width="9.28515625" style="297" customWidth="1"/>
    <col min="5647" max="5652" width="0" style="297" hidden="1" customWidth="1"/>
    <col min="5653" max="5653" width="9.28515625" style="297" customWidth="1"/>
    <col min="5654" max="5655" width="0" style="297" hidden="1" customWidth="1"/>
    <col min="5656" max="5657" width="9.28515625" style="297" customWidth="1"/>
    <col min="5658" max="5658" width="11.42578125" style="297"/>
    <col min="5659" max="5660" width="16.42578125" style="297" customWidth="1"/>
    <col min="5661" max="5889" width="11.42578125" style="297"/>
    <col min="5890" max="5890" width="16.28515625" style="297" customWidth="1"/>
    <col min="5891" max="5891" width="14.85546875" style="297" customWidth="1"/>
    <col min="5892" max="5893" width="11.42578125" style="297"/>
    <col min="5894" max="5902" width="9.28515625" style="297" customWidth="1"/>
    <col min="5903" max="5908" width="0" style="297" hidden="1" customWidth="1"/>
    <col min="5909" max="5909" width="9.28515625" style="297" customWidth="1"/>
    <col min="5910" max="5911" width="0" style="297" hidden="1" customWidth="1"/>
    <col min="5912" max="5913" width="9.28515625" style="297" customWidth="1"/>
    <col min="5914" max="5914" width="11.42578125" style="297"/>
    <col min="5915" max="5916" width="16.42578125" style="297" customWidth="1"/>
    <col min="5917" max="6145" width="11.42578125" style="297"/>
    <col min="6146" max="6146" width="16.28515625" style="297" customWidth="1"/>
    <col min="6147" max="6147" width="14.85546875" style="297" customWidth="1"/>
    <col min="6148" max="6149" width="11.42578125" style="297"/>
    <col min="6150" max="6158" width="9.28515625" style="297" customWidth="1"/>
    <col min="6159" max="6164" width="0" style="297" hidden="1" customWidth="1"/>
    <col min="6165" max="6165" width="9.28515625" style="297" customWidth="1"/>
    <col min="6166" max="6167" width="0" style="297" hidden="1" customWidth="1"/>
    <col min="6168" max="6169" width="9.28515625" style="297" customWidth="1"/>
    <col min="6170" max="6170" width="11.42578125" style="297"/>
    <col min="6171" max="6172" width="16.42578125" style="297" customWidth="1"/>
    <col min="6173" max="6401" width="11.42578125" style="297"/>
    <col min="6402" max="6402" width="16.28515625" style="297" customWidth="1"/>
    <col min="6403" max="6403" width="14.85546875" style="297" customWidth="1"/>
    <col min="6404" max="6405" width="11.42578125" style="297"/>
    <col min="6406" max="6414" width="9.28515625" style="297" customWidth="1"/>
    <col min="6415" max="6420" width="0" style="297" hidden="1" customWidth="1"/>
    <col min="6421" max="6421" width="9.28515625" style="297" customWidth="1"/>
    <col min="6422" max="6423" width="0" style="297" hidden="1" customWidth="1"/>
    <col min="6424" max="6425" width="9.28515625" style="297" customWidth="1"/>
    <col min="6426" max="6426" width="11.42578125" style="297"/>
    <col min="6427" max="6428" width="16.42578125" style="297" customWidth="1"/>
    <col min="6429" max="6657" width="11.42578125" style="297"/>
    <col min="6658" max="6658" width="16.28515625" style="297" customWidth="1"/>
    <col min="6659" max="6659" width="14.85546875" style="297" customWidth="1"/>
    <col min="6660" max="6661" width="11.42578125" style="297"/>
    <col min="6662" max="6670" width="9.28515625" style="297" customWidth="1"/>
    <col min="6671" max="6676" width="0" style="297" hidden="1" customWidth="1"/>
    <col min="6677" max="6677" width="9.28515625" style="297" customWidth="1"/>
    <col min="6678" max="6679" width="0" style="297" hidden="1" customWidth="1"/>
    <col min="6680" max="6681" width="9.28515625" style="297" customWidth="1"/>
    <col min="6682" max="6682" width="11.42578125" style="297"/>
    <col min="6683" max="6684" width="16.42578125" style="297" customWidth="1"/>
    <col min="6685" max="6913" width="11.42578125" style="297"/>
    <col min="6914" max="6914" width="16.28515625" style="297" customWidth="1"/>
    <col min="6915" max="6915" width="14.85546875" style="297" customWidth="1"/>
    <col min="6916" max="6917" width="11.42578125" style="297"/>
    <col min="6918" max="6926" width="9.28515625" style="297" customWidth="1"/>
    <col min="6927" max="6932" width="0" style="297" hidden="1" customWidth="1"/>
    <col min="6933" max="6933" width="9.28515625" style="297" customWidth="1"/>
    <col min="6934" max="6935" width="0" style="297" hidden="1" customWidth="1"/>
    <col min="6936" max="6937" width="9.28515625" style="297" customWidth="1"/>
    <col min="6938" max="6938" width="11.42578125" style="297"/>
    <col min="6939" max="6940" width="16.42578125" style="297" customWidth="1"/>
    <col min="6941" max="7169" width="11.42578125" style="297"/>
    <col min="7170" max="7170" width="16.28515625" style="297" customWidth="1"/>
    <col min="7171" max="7171" width="14.85546875" style="297" customWidth="1"/>
    <col min="7172" max="7173" width="11.42578125" style="297"/>
    <col min="7174" max="7182" width="9.28515625" style="297" customWidth="1"/>
    <col min="7183" max="7188" width="0" style="297" hidden="1" customWidth="1"/>
    <col min="7189" max="7189" width="9.28515625" style="297" customWidth="1"/>
    <col min="7190" max="7191" width="0" style="297" hidden="1" customWidth="1"/>
    <col min="7192" max="7193" width="9.28515625" style="297" customWidth="1"/>
    <col min="7194" max="7194" width="11.42578125" style="297"/>
    <col min="7195" max="7196" width="16.42578125" style="297" customWidth="1"/>
    <col min="7197" max="7425" width="11.42578125" style="297"/>
    <col min="7426" max="7426" width="16.28515625" style="297" customWidth="1"/>
    <col min="7427" max="7427" width="14.85546875" style="297" customWidth="1"/>
    <col min="7428" max="7429" width="11.42578125" style="297"/>
    <col min="7430" max="7438" width="9.28515625" style="297" customWidth="1"/>
    <col min="7439" max="7444" width="0" style="297" hidden="1" customWidth="1"/>
    <col min="7445" max="7445" width="9.28515625" style="297" customWidth="1"/>
    <col min="7446" max="7447" width="0" style="297" hidden="1" customWidth="1"/>
    <col min="7448" max="7449" width="9.28515625" style="297" customWidth="1"/>
    <col min="7450" max="7450" width="11.42578125" style="297"/>
    <col min="7451" max="7452" width="16.42578125" style="297" customWidth="1"/>
    <col min="7453" max="7681" width="11.42578125" style="297"/>
    <col min="7682" max="7682" width="16.28515625" style="297" customWidth="1"/>
    <col min="7683" max="7683" width="14.85546875" style="297" customWidth="1"/>
    <col min="7684" max="7685" width="11.42578125" style="297"/>
    <col min="7686" max="7694" width="9.28515625" style="297" customWidth="1"/>
    <col min="7695" max="7700" width="0" style="297" hidden="1" customWidth="1"/>
    <col min="7701" max="7701" width="9.28515625" style="297" customWidth="1"/>
    <col min="7702" max="7703" width="0" style="297" hidden="1" customWidth="1"/>
    <col min="7704" max="7705" width="9.28515625" style="297" customWidth="1"/>
    <col min="7706" max="7706" width="11.42578125" style="297"/>
    <col min="7707" max="7708" width="16.42578125" style="297" customWidth="1"/>
    <col min="7709" max="7937" width="11.42578125" style="297"/>
    <col min="7938" max="7938" width="16.28515625" style="297" customWidth="1"/>
    <col min="7939" max="7939" width="14.85546875" style="297" customWidth="1"/>
    <col min="7940" max="7941" width="11.42578125" style="297"/>
    <col min="7942" max="7950" width="9.28515625" style="297" customWidth="1"/>
    <col min="7951" max="7956" width="0" style="297" hidden="1" customWidth="1"/>
    <col min="7957" max="7957" width="9.28515625" style="297" customWidth="1"/>
    <col min="7958" max="7959" width="0" style="297" hidden="1" customWidth="1"/>
    <col min="7960" max="7961" width="9.28515625" style="297" customWidth="1"/>
    <col min="7962" max="7962" width="11.42578125" style="297"/>
    <col min="7963" max="7964" width="16.42578125" style="297" customWidth="1"/>
    <col min="7965" max="8193" width="11.42578125" style="297"/>
    <col min="8194" max="8194" width="16.28515625" style="297" customWidth="1"/>
    <col min="8195" max="8195" width="14.85546875" style="297" customWidth="1"/>
    <col min="8196" max="8197" width="11.42578125" style="297"/>
    <col min="8198" max="8206" width="9.28515625" style="297" customWidth="1"/>
    <col min="8207" max="8212" width="0" style="297" hidden="1" customWidth="1"/>
    <col min="8213" max="8213" width="9.28515625" style="297" customWidth="1"/>
    <col min="8214" max="8215" width="0" style="297" hidden="1" customWidth="1"/>
    <col min="8216" max="8217" width="9.28515625" style="297" customWidth="1"/>
    <col min="8218" max="8218" width="11.42578125" style="297"/>
    <col min="8219" max="8220" width="16.42578125" style="297" customWidth="1"/>
    <col min="8221" max="8449" width="11.42578125" style="297"/>
    <col min="8450" max="8450" width="16.28515625" style="297" customWidth="1"/>
    <col min="8451" max="8451" width="14.85546875" style="297" customWidth="1"/>
    <col min="8452" max="8453" width="11.42578125" style="297"/>
    <col min="8454" max="8462" width="9.28515625" style="297" customWidth="1"/>
    <col min="8463" max="8468" width="0" style="297" hidden="1" customWidth="1"/>
    <col min="8469" max="8469" width="9.28515625" style="297" customWidth="1"/>
    <col min="8470" max="8471" width="0" style="297" hidden="1" customWidth="1"/>
    <col min="8472" max="8473" width="9.28515625" style="297" customWidth="1"/>
    <col min="8474" max="8474" width="11.42578125" style="297"/>
    <col min="8475" max="8476" width="16.42578125" style="297" customWidth="1"/>
    <col min="8477" max="8705" width="11.42578125" style="297"/>
    <col min="8706" max="8706" width="16.28515625" style="297" customWidth="1"/>
    <col min="8707" max="8707" width="14.85546875" style="297" customWidth="1"/>
    <col min="8708" max="8709" width="11.42578125" style="297"/>
    <col min="8710" max="8718" width="9.28515625" style="297" customWidth="1"/>
    <col min="8719" max="8724" width="0" style="297" hidden="1" customWidth="1"/>
    <col min="8725" max="8725" width="9.28515625" style="297" customWidth="1"/>
    <col min="8726" max="8727" width="0" style="297" hidden="1" customWidth="1"/>
    <col min="8728" max="8729" width="9.28515625" style="297" customWidth="1"/>
    <col min="8730" max="8730" width="11.42578125" style="297"/>
    <col min="8731" max="8732" width="16.42578125" style="297" customWidth="1"/>
    <col min="8733" max="8961" width="11.42578125" style="297"/>
    <col min="8962" max="8962" width="16.28515625" style="297" customWidth="1"/>
    <col min="8963" max="8963" width="14.85546875" style="297" customWidth="1"/>
    <col min="8964" max="8965" width="11.42578125" style="297"/>
    <col min="8966" max="8974" width="9.28515625" style="297" customWidth="1"/>
    <col min="8975" max="8980" width="0" style="297" hidden="1" customWidth="1"/>
    <col min="8981" max="8981" width="9.28515625" style="297" customWidth="1"/>
    <col min="8982" max="8983" width="0" style="297" hidden="1" customWidth="1"/>
    <col min="8984" max="8985" width="9.28515625" style="297" customWidth="1"/>
    <col min="8986" max="8986" width="11.42578125" style="297"/>
    <col min="8987" max="8988" width="16.42578125" style="297" customWidth="1"/>
    <col min="8989" max="9217" width="11.42578125" style="297"/>
    <col min="9218" max="9218" width="16.28515625" style="297" customWidth="1"/>
    <col min="9219" max="9219" width="14.85546875" style="297" customWidth="1"/>
    <col min="9220" max="9221" width="11.42578125" style="297"/>
    <col min="9222" max="9230" width="9.28515625" style="297" customWidth="1"/>
    <col min="9231" max="9236" width="0" style="297" hidden="1" customWidth="1"/>
    <col min="9237" max="9237" width="9.28515625" style="297" customWidth="1"/>
    <col min="9238" max="9239" width="0" style="297" hidden="1" customWidth="1"/>
    <col min="9240" max="9241" width="9.28515625" style="297" customWidth="1"/>
    <col min="9242" max="9242" width="11.42578125" style="297"/>
    <col min="9243" max="9244" width="16.42578125" style="297" customWidth="1"/>
    <col min="9245" max="9473" width="11.42578125" style="297"/>
    <col min="9474" max="9474" width="16.28515625" style="297" customWidth="1"/>
    <col min="9475" max="9475" width="14.85546875" style="297" customWidth="1"/>
    <col min="9476" max="9477" width="11.42578125" style="297"/>
    <col min="9478" max="9486" width="9.28515625" style="297" customWidth="1"/>
    <col min="9487" max="9492" width="0" style="297" hidden="1" customWidth="1"/>
    <col min="9493" max="9493" width="9.28515625" style="297" customWidth="1"/>
    <col min="9494" max="9495" width="0" style="297" hidden="1" customWidth="1"/>
    <col min="9496" max="9497" width="9.28515625" style="297" customWidth="1"/>
    <col min="9498" max="9498" width="11.42578125" style="297"/>
    <col min="9499" max="9500" width="16.42578125" style="297" customWidth="1"/>
    <col min="9501" max="9729" width="11.42578125" style="297"/>
    <col min="9730" max="9730" width="16.28515625" style="297" customWidth="1"/>
    <col min="9731" max="9731" width="14.85546875" style="297" customWidth="1"/>
    <col min="9732" max="9733" width="11.42578125" style="297"/>
    <col min="9734" max="9742" width="9.28515625" style="297" customWidth="1"/>
    <col min="9743" max="9748" width="0" style="297" hidden="1" customWidth="1"/>
    <col min="9749" max="9749" width="9.28515625" style="297" customWidth="1"/>
    <col min="9750" max="9751" width="0" style="297" hidden="1" customWidth="1"/>
    <col min="9752" max="9753" width="9.28515625" style="297" customWidth="1"/>
    <col min="9754" max="9754" width="11.42578125" style="297"/>
    <col min="9755" max="9756" width="16.42578125" style="297" customWidth="1"/>
    <col min="9757" max="9985" width="11.42578125" style="297"/>
    <col min="9986" max="9986" width="16.28515625" style="297" customWidth="1"/>
    <col min="9987" max="9987" width="14.85546875" style="297" customWidth="1"/>
    <col min="9988" max="9989" width="11.42578125" style="297"/>
    <col min="9990" max="9998" width="9.28515625" style="297" customWidth="1"/>
    <col min="9999" max="10004" width="0" style="297" hidden="1" customWidth="1"/>
    <col min="10005" max="10005" width="9.28515625" style="297" customWidth="1"/>
    <col min="10006" max="10007" width="0" style="297" hidden="1" customWidth="1"/>
    <col min="10008" max="10009" width="9.28515625" style="297" customWidth="1"/>
    <col min="10010" max="10010" width="11.42578125" style="297"/>
    <col min="10011" max="10012" width="16.42578125" style="297" customWidth="1"/>
    <col min="10013" max="10241" width="11.42578125" style="297"/>
    <col min="10242" max="10242" width="16.28515625" style="297" customWidth="1"/>
    <col min="10243" max="10243" width="14.85546875" style="297" customWidth="1"/>
    <col min="10244" max="10245" width="11.42578125" style="297"/>
    <col min="10246" max="10254" width="9.28515625" style="297" customWidth="1"/>
    <col min="10255" max="10260" width="0" style="297" hidden="1" customWidth="1"/>
    <col min="10261" max="10261" width="9.28515625" style="297" customWidth="1"/>
    <col min="10262" max="10263" width="0" style="297" hidden="1" customWidth="1"/>
    <col min="10264" max="10265" width="9.28515625" style="297" customWidth="1"/>
    <col min="10266" max="10266" width="11.42578125" style="297"/>
    <col min="10267" max="10268" width="16.42578125" style="297" customWidth="1"/>
    <col min="10269" max="10497" width="11.42578125" style="297"/>
    <col min="10498" max="10498" width="16.28515625" style="297" customWidth="1"/>
    <col min="10499" max="10499" width="14.85546875" style="297" customWidth="1"/>
    <col min="10500" max="10501" width="11.42578125" style="297"/>
    <col min="10502" max="10510" width="9.28515625" style="297" customWidth="1"/>
    <col min="10511" max="10516" width="0" style="297" hidden="1" customWidth="1"/>
    <col min="10517" max="10517" width="9.28515625" style="297" customWidth="1"/>
    <col min="10518" max="10519" width="0" style="297" hidden="1" customWidth="1"/>
    <col min="10520" max="10521" width="9.28515625" style="297" customWidth="1"/>
    <col min="10522" max="10522" width="11.42578125" style="297"/>
    <col min="10523" max="10524" width="16.42578125" style="297" customWidth="1"/>
    <col min="10525" max="10753" width="11.42578125" style="297"/>
    <col min="10754" max="10754" width="16.28515625" style="297" customWidth="1"/>
    <col min="10755" max="10755" width="14.85546875" style="297" customWidth="1"/>
    <col min="10756" max="10757" width="11.42578125" style="297"/>
    <col min="10758" max="10766" width="9.28515625" style="297" customWidth="1"/>
    <col min="10767" max="10772" width="0" style="297" hidden="1" customWidth="1"/>
    <col min="10773" max="10773" width="9.28515625" style="297" customWidth="1"/>
    <col min="10774" max="10775" width="0" style="297" hidden="1" customWidth="1"/>
    <col min="10776" max="10777" width="9.28515625" style="297" customWidth="1"/>
    <col min="10778" max="10778" width="11.42578125" style="297"/>
    <col min="10779" max="10780" width="16.42578125" style="297" customWidth="1"/>
    <col min="10781" max="11009" width="11.42578125" style="297"/>
    <col min="11010" max="11010" width="16.28515625" style="297" customWidth="1"/>
    <col min="11011" max="11011" width="14.85546875" style="297" customWidth="1"/>
    <col min="11012" max="11013" width="11.42578125" style="297"/>
    <col min="11014" max="11022" width="9.28515625" style="297" customWidth="1"/>
    <col min="11023" max="11028" width="0" style="297" hidden="1" customWidth="1"/>
    <col min="11029" max="11029" width="9.28515625" style="297" customWidth="1"/>
    <col min="11030" max="11031" width="0" style="297" hidden="1" customWidth="1"/>
    <col min="11032" max="11033" width="9.28515625" style="297" customWidth="1"/>
    <col min="11034" max="11034" width="11.42578125" style="297"/>
    <col min="11035" max="11036" width="16.42578125" style="297" customWidth="1"/>
    <col min="11037" max="11265" width="11.42578125" style="297"/>
    <col min="11266" max="11266" width="16.28515625" style="297" customWidth="1"/>
    <col min="11267" max="11267" width="14.85546875" style="297" customWidth="1"/>
    <col min="11268" max="11269" width="11.42578125" style="297"/>
    <col min="11270" max="11278" width="9.28515625" style="297" customWidth="1"/>
    <col min="11279" max="11284" width="0" style="297" hidden="1" customWidth="1"/>
    <col min="11285" max="11285" width="9.28515625" style="297" customWidth="1"/>
    <col min="11286" max="11287" width="0" style="297" hidden="1" customWidth="1"/>
    <col min="11288" max="11289" width="9.28515625" style="297" customWidth="1"/>
    <col min="11290" max="11290" width="11.42578125" style="297"/>
    <col min="11291" max="11292" width="16.42578125" style="297" customWidth="1"/>
    <col min="11293" max="11521" width="11.42578125" style="297"/>
    <col min="11522" max="11522" width="16.28515625" style="297" customWidth="1"/>
    <col min="11523" max="11523" width="14.85546875" style="297" customWidth="1"/>
    <col min="11524" max="11525" width="11.42578125" style="297"/>
    <col min="11526" max="11534" width="9.28515625" style="297" customWidth="1"/>
    <col min="11535" max="11540" width="0" style="297" hidden="1" customWidth="1"/>
    <col min="11541" max="11541" width="9.28515625" style="297" customWidth="1"/>
    <col min="11542" max="11543" width="0" style="297" hidden="1" customWidth="1"/>
    <col min="11544" max="11545" width="9.28515625" style="297" customWidth="1"/>
    <col min="11546" max="11546" width="11.42578125" style="297"/>
    <col min="11547" max="11548" width="16.42578125" style="297" customWidth="1"/>
    <col min="11549" max="11777" width="11.42578125" style="297"/>
    <col min="11778" max="11778" width="16.28515625" style="297" customWidth="1"/>
    <col min="11779" max="11779" width="14.85546875" style="297" customWidth="1"/>
    <col min="11780" max="11781" width="11.42578125" style="297"/>
    <col min="11782" max="11790" width="9.28515625" style="297" customWidth="1"/>
    <col min="11791" max="11796" width="0" style="297" hidden="1" customWidth="1"/>
    <col min="11797" max="11797" width="9.28515625" style="297" customWidth="1"/>
    <col min="11798" max="11799" width="0" style="297" hidden="1" customWidth="1"/>
    <col min="11800" max="11801" width="9.28515625" style="297" customWidth="1"/>
    <col min="11802" max="11802" width="11.42578125" style="297"/>
    <col min="11803" max="11804" width="16.42578125" style="297" customWidth="1"/>
    <col min="11805" max="12033" width="11.42578125" style="297"/>
    <col min="12034" max="12034" width="16.28515625" style="297" customWidth="1"/>
    <col min="12035" max="12035" width="14.85546875" style="297" customWidth="1"/>
    <col min="12036" max="12037" width="11.42578125" style="297"/>
    <col min="12038" max="12046" width="9.28515625" style="297" customWidth="1"/>
    <col min="12047" max="12052" width="0" style="297" hidden="1" customWidth="1"/>
    <col min="12053" max="12053" width="9.28515625" style="297" customWidth="1"/>
    <col min="12054" max="12055" width="0" style="297" hidden="1" customWidth="1"/>
    <col min="12056" max="12057" width="9.28515625" style="297" customWidth="1"/>
    <col min="12058" max="12058" width="11.42578125" style="297"/>
    <col min="12059" max="12060" width="16.42578125" style="297" customWidth="1"/>
    <col min="12061" max="12289" width="11.42578125" style="297"/>
    <col min="12290" max="12290" width="16.28515625" style="297" customWidth="1"/>
    <col min="12291" max="12291" width="14.85546875" style="297" customWidth="1"/>
    <col min="12292" max="12293" width="11.42578125" style="297"/>
    <col min="12294" max="12302" width="9.28515625" style="297" customWidth="1"/>
    <col min="12303" max="12308" width="0" style="297" hidden="1" customWidth="1"/>
    <col min="12309" max="12309" width="9.28515625" style="297" customWidth="1"/>
    <col min="12310" max="12311" width="0" style="297" hidden="1" customWidth="1"/>
    <col min="12312" max="12313" width="9.28515625" style="297" customWidth="1"/>
    <col min="12314" max="12314" width="11.42578125" style="297"/>
    <col min="12315" max="12316" width="16.42578125" style="297" customWidth="1"/>
    <col min="12317" max="12545" width="11.42578125" style="297"/>
    <col min="12546" max="12546" width="16.28515625" style="297" customWidth="1"/>
    <col min="12547" max="12547" width="14.85546875" style="297" customWidth="1"/>
    <col min="12548" max="12549" width="11.42578125" style="297"/>
    <col min="12550" max="12558" width="9.28515625" style="297" customWidth="1"/>
    <col min="12559" max="12564" width="0" style="297" hidden="1" customWidth="1"/>
    <col min="12565" max="12565" width="9.28515625" style="297" customWidth="1"/>
    <col min="12566" max="12567" width="0" style="297" hidden="1" customWidth="1"/>
    <col min="12568" max="12569" width="9.28515625" style="297" customWidth="1"/>
    <col min="12570" max="12570" width="11.42578125" style="297"/>
    <col min="12571" max="12572" width="16.42578125" style="297" customWidth="1"/>
    <col min="12573" max="12801" width="11.42578125" style="297"/>
    <col min="12802" max="12802" width="16.28515625" style="297" customWidth="1"/>
    <col min="12803" max="12803" width="14.85546875" style="297" customWidth="1"/>
    <col min="12804" max="12805" width="11.42578125" style="297"/>
    <col min="12806" max="12814" width="9.28515625" style="297" customWidth="1"/>
    <col min="12815" max="12820" width="0" style="297" hidden="1" customWidth="1"/>
    <col min="12821" max="12821" width="9.28515625" style="297" customWidth="1"/>
    <col min="12822" max="12823" width="0" style="297" hidden="1" customWidth="1"/>
    <col min="12824" max="12825" width="9.28515625" style="297" customWidth="1"/>
    <col min="12826" max="12826" width="11.42578125" style="297"/>
    <col min="12827" max="12828" width="16.42578125" style="297" customWidth="1"/>
    <col min="12829" max="13057" width="11.42578125" style="297"/>
    <col min="13058" max="13058" width="16.28515625" style="297" customWidth="1"/>
    <col min="13059" max="13059" width="14.85546875" style="297" customWidth="1"/>
    <col min="13060" max="13061" width="11.42578125" style="297"/>
    <col min="13062" max="13070" width="9.28515625" style="297" customWidth="1"/>
    <col min="13071" max="13076" width="0" style="297" hidden="1" customWidth="1"/>
    <col min="13077" max="13077" width="9.28515625" style="297" customWidth="1"/>
    <col min="13078" max="13079" width="0" style="297" hidden="1" customWidth="1"/>
    <col min="13080" max="13081" width="9.28515625" style="297" customWidth="1"/>
    <col min="13082" max="13082" width="11.42578125" style="297"/>
    <col min="13083" max="13084" width="16.42578125" style="297" customWidth="1"/>
    <col min="13085" max="13313" width="11.42578125" style="297"/>
    <col min="13314" max="13314" width="16.28515625" style="297" customWidth="1"/>
    <col min="13315" max="13315" width="14.85546875" style="297" customWidth="1"/>
    <col min="13316" max="13317" width="11.42578125" style="297"/>
    <col min="13318" max="13326" width="9.28515625" style="297" customWidth="1"/>
    <col min="13327" max="13332" width="0" style="297" hidden="1" customWidth="1"/>
    <col min="13333" max="13333" width="9.28515625" style="297" customWidth="1"/>
    <col min="13334" max="13335" width="0" style="297" hidden="1" customWidth="1"/>
    <col min="13336" max="13337" width="9.28515625" style="297" customWidth="1"/>
    <col min="13338" max="13338" width="11.42578125" style="297"/>
    <col min="13339" max="13340" width="16.42578125" style="297" customWidth="1"/>
    <col min="13341" max="13569" width="11.42578125" style="297"/>
    <col min="13570" max="13570" width="16.28515625" style="297" customWidth="1"/>
    <col min="13571" max="13571" width="14.85546875" style="297" customWidth="1"/>
    <col min="13572" max="13573" width="11.42578125" style="297"/>
    <col min="13574" max="13582" width="9.28515625" style="297" customWidth="1"/>
    <col min="13583" max="13588" width="0" style="297" hidden="1" customWidth="1"/>
    <col min="13589" max="13589" width="9.28515625" style="297" customWidth="1"/>
    <col min="13590" max="13591" width="0" style="297" hidden="1" customWidth="1"/>
    <col min="13592" max="13593" width="9.28515625" style="297" customWidth="1"/>
    <col min="13594" max="13594" width="11.42578125" style="297"/>
    <col min="13595" max="13596" width="16.42578125" style="297" customWidth="1"/>
    <col min="13597" max="13825" width="11.42578125" style="297"/>
    <col min="13826" max="13826" width="16.28515625" style="297" customWidth="1"/>
    <col min="13827" max="13827" width="14.85546875" style="297" customWidth="1"/>
    <col min="13828" max="13829" width="11.42578125" style="297"/>
    <col min="13830" max="13838" width="9.28515625" style="297" customWidth="1"/>
    <col min="13839" max="13844" width="0" style="297" hidden="1" customWidth="1"/>
    <col min="13845" max="13845" width="9.28515625" style="297" customWidth="1"/>
    <col min="13846" max="13847" width="0" style="297" hidden="1" customWidth="1"/>
    <col min="13848" max="13849" width="9.28515625" style="297" customWidth="1"/>
    <col min="13850" max="13850" width="11.42578125" style="297"/>
    <col min="13851" max="13852" width="16.42578125" style="297" customWidth="1"/>
    <col min="13853" max="14081" width="11.42578125" style="297"/>
    <col min="14082" max="14082" width="16.28515625" style="297" customWidth="1"/>
    <col min="14083" max="14083" width="14.85546875" style="297" customWidth="1"/>
    <col min="14084" max="14085" width="11.42578125" style="297"/>
    <col min="14086" max="14094" width="9.28515625" style="297" customWidth="1"/>
    <col min="14095" max="14100" width="0" style="297" hidden="1" customWidth="1"/>
    <col min="14101" max="14101" width="9.28515625" style="297" customWidth="1"/>
    <col min="14102" max="14103" width="0" style="297" hidden="1" customWidth="1"/>
    <col min="14104" max="14105" width="9.28515625" style="297" customWidth="1"/>
    <col min="14106" max="14106" width="11.42578125" style="297"/>
    <col min="14107" max="14108" width="16.42578125" style="297" customWidth="1"/>
    <col min="14109" max="14337" width="11.42578125" style="297"/>
    <col min="14338" max="14338" width="16.28515625" style="297" customWidth="1"/>
    <col min="14339" max="14339" width="14.85546875" style="297" customWidth="1"/>
    <col min="14340" max="14341" width="11.42578125" style="297"/>
    <col min="14342" max="14350" width="9.28515625" style="297" customWidth="1"/>
    <col min="14351" max="14356" width="0" style="297" hidden="1" customWidth="1"/>
    <col min="14357" max="14357" width="9.28515625" style="297" customWidth="1"/>
    <col min="14358" max="14359" width="0" style="297" hidden="1" customWidth="1"/>
    <col min="14360" max="14361" width="9.28515625" style="297" customWidth="1"/>
    <col min="14362" max="14362" width="11.42578125" style="297"/>
    <col min="14363" max="14364" width="16.42578125" style="297" customWidth="1"/>
    <col min="14365" max="14593" width="11.42578125" style="297"/>
    <col min="14594" max="14594" width="16.28515625" style="297" customWidth="1"/>
    <col min="14595" max="14595" width="14.85546875" style="297" customWidth="1"/>
    <col min="14596" max="14597" width="11.42578125" style="297"/>
    <col min="14598" max="14606" width="9.28515625" style="297" customWidth="1"/>
    <col min="14607" max="14612" width="0" style="297" hidden="1" customWidth="1"/>
    <col min="14613" max="14613" width="9.28515625" style="297" customWidth="1"/>
    <col min="14614" max="14615" width="0" style="297" hidden="1" customWidth="1"/>
    <col min="14616" max="14617" width="9.28515625" style="297" customWidth="1"/>
    <col min="14618" max="14618" width="11.42578125" style="297"/>
    <col min="14619" max="14620" width="16.42578125" style="297" customWidth="1"/>
    <col min="14621" max="14849" width="11.42578125" style="297"/>
    <col min="14850" max="14850" width="16.28515625" style="297" customWidth="1"/>
    <col min="14851" max="14851" width="14.85546875" style="297" customWidth="1"/>
    <col min="14852" max="14853" width="11.42578125" style="297"/>
    <col min="14854" max="14862" width="9.28515625" style="297" customWidth="1"/>
    <col min="14863" max="14868" width="0" style="297" hidden="1" customWidth="1"/>
    <col min="14869" max="14869" width="9.28515625" style="297" customWidth="1"/>
    <col min="14870" max="14871" width="0" style="297" hidden="1" customWidth="1"/>
    <col min="14872" max="14873" width="9.28515625" style="297" customWidth="1"/>
    <col min="14874" max="14874" width="11.42578125" style="297"/>
    <col min="14875" max="14876" width="16.42578125" style="297" customWidth="1"/>
    <col min="14877" max="15105" width="11.42578125" style="297"/>
    <col min="15106" max="15106" width="16.28515625" style="297" customWidth="1"/>
    <col min="15107" max="15107" width="14.85546875" style="297" customWidth="1"/>
    <col min="15108" max="15109" width="11.42578125" style="297"/>
    <col min="15110" max="15118" width="9.28515625" style="297" customWidth="1"/>
    <col min="15119" max="15124" width="0" style="297" hidden="1" customWidth="1"/>
    <col min="15125" max="15125" width="9.28515625" style="297" customWidth="1"/>
    <col min="15126" max="15127" width="0" style="297" hidden="1" customWidth="1"/>
    <col min="15128" max="15129" width="9.28515625" style="297" customWidth="1"/>
    <col min="15130" max="15130" width="11.42578125" style="297"/>
    <col min="15131" max="15132" width="16.42578125" style="297" customWidth="1"/>
    <col min="15133" max="15361" width="11.42578125" style="297"/>
    <col min="15362" max="15362" width="16.28515625" style="297" customWidth="1"/>
    <col min="15363" max="15363" width="14.85546875" style="297" customWidth="1"/>
    <col min="15364" max="15365" width="11.42578125" style="297"/>
    <col min="15366" max="15374" width="9.28515625" style="297" customWidth="1"/>
    <col min="15375" max="15380" width="0" style="297" hidden="1" customWidth="1"/>
    <col min="15381" max="15381" width="9.28515625" style="297" customWidth="1"/>
    <col min="15382" max="15383" width="0" style="297" hidden="1" customWidth="1"/>
    <col min="15384" max="15385" width="9.28515625" style="297" customWidth="1"/>
    <col min="15386" max="15386" width="11.42578125" style="297"/>
    <col min="15387" max="15388" width="16.42578125" style="297" customWidth="1"/>
    <col min="15389" max="15617" width="11.42578125" style="297"/>
    <col min="15618" max="15618" width="16.28515625" style="297" customWidth="1"/>
    <col min="15619" max="15619" width="14.85546875" style="297" customWidth="1"/>
    <col min="15620" max="15621" width="11.42578125" style="297"/>
    <col min="15622" max="15630" width="9.28515625" style="297" customWidth="1"/>
    <col min="15631" max="15636" width="0" style="297" hidden="1" customWidth="1"/>
    <col min="15637" max="15637" width="9.28515625" style="297" customWidth="1"/>
    <col min="15638" max="15639" width="0" style="297" hidden="1" customWidth="1"/>
    <col min="15640" max="15641" width="9.28515625" style="297" customWidth="1"/>
    <col min="15642" max="15642" width="11.42578125" style="297"/>
    <col min="15643" max="15644" width="16.42578125" style="297" customWidth="1"/>
    <col min="15645" max="15873" width="11.42578125" style="297"/>
    <col min="15874" max="15874" width="16.28515625" style="297" customWidth="1"/>
    <col min="15875" max="15875" width="14.85546875" style="297" customWidth="1"/>
    <col min="15876" max="15877" width="11.42578125" style="297"/>
    <col min="15878" max="15886" width="9.28515625" style="297" customWidth="1"/>
    <col min="15887" max="15892" width="0" style="297" hidden="1" customWidth="1"/>
    <col min="15893" max="15893" width="9.28515625" style="297" customWidth="1"/>
    <col min="15894" max="15895" width="0" style="297" hidden="1" customWidth="1"/>
    <col min="15896" max="15897" width="9.28515625" style="297" customWidth="1"/>
    <col min="15898" max="15898" width="11.42578125" style="297"/>
    <col min="15899" max="15900" width="16.42578125" style="297" customWidth="1"/>
    <col min="15901" max="16129" width="11.42578125" style="297"/>
    <col min="16130" max="16130" width="16.28515625" style="297" customWidth="1"/>
    <col min="16131" max="16131" width="14.85546875" style="297" customWidth="1"/>
    <col min="16132" max="16133" width="11.42578125" style="297"/>
    <col min="16134" max="16142" width="9.28515625" style="297" customWidth="1"/>
    <col min="16143" max="16148" width="0" style="297" hidden="1" customWidth="1"/>
    <col min="16149" max="16149" width="9.28515625" style="297" customWidth="1"/>
    <col min="16150" max="16151" width="0" style="297" hidden="1" customWidth="1"/>
    <col min="16152" max="16153" width="9.28515625" style="297" customWidth="1"/>
    <col min="16154" max="16154" width="11.42578125" style="297"/>
    <col min="16155" max="16156" width="16.42578125" style="297" customWidth="1"/>
    <col min="16157" max="16384" width="11.42578125" style="297"/>
  </cols>
  <sheetData>
    <row r="1" spans="1:31" ht="16.5" thickBot="1">
      <c r="B1" s="22" t="str">
        <f>RESUM!G8</f>
        <v>MAC QI 315 L</v>
      </c>
      <c r="C1" s="22"/>
      <c r="E1" s="299" t="s">
        <v>185</v>
      </c>
      <c r="P1" s="300">
        <f>P6/O6</f>
        <v>3.1605921282970248</v>
      </c>
      <c r="S1" s="300">
        <f>S6/R6</f>
        <v>3.1605921282970248</v>
      </c>
      <c r="AA1" s="305" t="s">
        <v>186</v>
      </c>
      <c r="AD1" s="723"/>
      <c r="AE1" s="723"/>
    </row>
    <row r="2" spans="1:31" ht="15.75">
      <c r="B2" s="366" t="str">
        <f>RESUM!G9</f>
        <v>F61</v>
      </c>
      <c r="C2" s="25"/>
      <c r="E2" s="307" t="s">
        <v>187</v>
      </c>
      <c r="F2" s="300" t="s">
        <v>188</v>
      </c>
      <c r="G2" s="300" t="s">
        <v>189</v>
      </c>
      <c r="H2" s="300" t="s">
        <v>158</v>
      </c>
      <c r="I2" s="300" t="s">
        <v>82</v>
      </c>
      <c r="J2" s="300" t="s">
        <v>190</v>
      </c>
      <c r="K2" s="300" t="s">
        <v>191</v>
      </c>
      <c r="L2" s="300" t="s">
        <v>192</v>
      </c>
      <c r="M2" s="300" t="s">
        <v>193</v>
      </c>
      <c r="N2" s="300" t="s">
        <v>194</v>
      </c>
      <c r="O2" s="308" t="s">
        <v>195</v>
      </c>
      <c r="P2" s="309" t="s">
        <v>196</v>
      </c>
      <c r="Q2" s="310" t="s">
        <v>197</v>
      </c>
      <c r="R2" s="308" t="s">
        <v>198</v>
      </c>
      <c r="S2" s="309" t="s">
        <v>199</v>
      </c>
      <c r="T2" s="310" t="s">
        <v>200</v>
      </c>
      <c r="U2" s="311" t="s">
        <v>160</v>
      </c>
      <c r="V2" s="300" t="s">
        <v>201</v>
      </c>
      <c r="W2" s="300" t="s">
        <v>202</v>
      </c>
      <c r="X2" s="300" t="s">
        <v>203</v>
      </c>
      <c r="Y2" s="300" t="s">
        <v>204</v>
      </c>
      <c r="AA2" s="305" t="s">
        <v>205</v>
      </c>
      <c r="AB2" s="305" t="s">
        <v>206</v>
      </c>
      <c r="AD2" s="306"/>
      <c r="AE2" s="306"/>
    </row>
    <row r="3" spans="1:31" ht="15.75">
      <c r="B3" s="28">
        <f>RESUM!G10</f>
        <v>6</v>
      </c>
      <c r="C3" s="28"/>
      <c r="E3" s="312">
        <f t="shared" ref="E3:E23" si="0">X3/F3</f>
        <v>6.7040448774937564</v>
      </c>
      <c r="F3" s="313">
        <f>$B$9-B27/120*$B$3</f>
        <v>33.374400000000001</v>
      </c>
      <c r="G3" s="314">
        <f t="shared" ref="G3:G23" si="1">H3/I3</f>
        <v>1.4981542761789786E-9</v>
      </c>
      <c r="H3" s="315">
        <v>9.9999999999999995E-7</v>
      </c>
      <c r="I3" s="316">
        <f>F3*120/$B3-$H3</f>
        <v>667.48799900000006</v>
      </c>
      <c r="J3" s="317">
        <f t="shared" ref="J3:J23" si="2">3*(1-G3)/G3*$B$17/1000*M3^2/1000</f>
        <v>3.5371678192836211E-5</v>
      </c>
      <c r="K3" s="316">
        <f t="shared" ref="K3:K23" si="3">J3/I3*1000*30/PI()</f>
        <v>5.0603852997623845E-4</v>
      </c>
      <c r="L3" s="315">
        <f>B25</f>
        <v>253.86340501447495</v>
      </c>
      <c r="M3" s="316">
        <f t="shared" ref="M3:M23" si="4">U3/$B$17*1000*G3</f>
        <v>5.7737630915043103E-5</v>
      </c>
      <c r="N3" s="316">
        <f t="shared" ref="N3:N23" si="5">(L3^2+M3^2)^0.5</f>
        <v>253.86340501448151</v>
      </c>
      <c r="O3" s="318">
        <f t="shared" ref="O3:P18" si="6">$B$16*L3/1000</f>
        <v>1.5479642875506245</v>
      </c>
      <c r="P3" s="300">
        <f t="shared" si="6"/>
        <v>3.5206252235988692E-7</v>
      </c>
      <c r="Q3" s="319">
        <f t="shared" ref="Q3:Q23" si="7">N3*$B$16/1000</f>
        <v>1.5479642875506645</v>
      </c>
      <c r="R3" s="318">
        <f t="shared" ref="R3:R23" si="8">2*PI()*F3*$B$19*L3/1000</f>
        <v>19.528850982228452</v>
      </c>
      <c r="S3" s="317">
        <f t="shared" ref="S3:S23" si="9">2*PI()*F3*$B$19*M3/1000</f>
        <v>4.4415601773815797E-6</v>
      </c>
      <c r="T3" s="319">
        <f t="shared" ref="T3:T23" si="10">2*PI()*F3*$B$19*N3/1000</f>
        <v>19.528850982228956</v>
      </c>
      <c r="U3" s="320">
        <f>$B$21*2*PI()*F3*L3/1000</f>
        <v>204.20926921343778</v>
      </c>
      <c r="V3" s="317">
        <f t="shared" ref="V3:V23" si="11">O3-S3</f>
        <v>1.5479598459904471</v>
      </c>
      <c r="W3" s="317">
        <f t="shared" ref="W3:W23" si="12">P3+R3+U3</f>
        <v>223.73812054772876</v>
      </c>
      <c r="X3" s="321">
        <f t="shared" ref="X3:X23" si="13">(W3^2+V3^2)^0.5</f>
        <v>223.74347535942763</v>
      </c>
      <c r="Y3" s="321">
        <f t="shared" ref="Y3:Y23" si="14">X3*3^0.5</f>
        <v>387.53506718456379</v>
      </c>
      <c r="AA3" s="305">
        <v>0</v>
      </c>
      <c r="AB3" s="305">
        <v>0</v>
      </c>
      <c r="AD3" s="322"/>
      <c r="AE3" s="322"/>
    </row>
    <row r="4" spans="1:31" ht="15.75">
      <c r="A4" s="297" t="s">
        <v>79</v>
      </c>
      <c r="B4" s="30">
        <f>RESUM!G11</f>
        <v>6200</v>
      </c>
      <c r="C4" s="30"/>
      <c r="E4" s="312">
        <f t="shared" si="0"/>
        <v>6.8163297694074112</v>
      </c>
      <c r="F4" s="313">
        <f>$F$3+H4/120*$B$3</f>
        <v>33.687199999999997</v>
      </c>
      <c r="G4" s="314">
        <f t="shared" si="1"/>
        <v>9.3724531517756487E-3</v>
      </c>
      <c r="H4" s="315">
        <f>H5/2</f>
        <v>6.2559999999999718</v>
      </c>
      <c r="I4" s="316">
        <f>I3</f>
        <v>667.48799900000006</v>
      </c>
      <c r="J4" s="317">
        <f t="shared" si="2"/>
        <v>223.3395839335729</v>
      </c>
      <c r="K4" s="316">
        <f t="shared" si="3"/>
        <v>3195.167447897325</v>
      </c>
      <c r="L4" s="315">
        <f>L3</f>
        <v>253.86340501447495</v>
      </c>
      <c r="M4" s="316">
        <f t="shared" si="4"/>
        <v>364.59201111416718</v>
      </c>
      <c r="N4" s="316">
        <f t="shared" si="5"/>
        <v>444.26789550204541</v>
      </c>
      <c r="O4" s="318">
        <f t="shared" si="6"/>
        <v>1.5479642875506245</v>
      </c>
      <c r="P4" s="317">
        <f t="shared" si="6"/>
        <v>2.2231459973477126</v>
      </c>
      <c r="Q4" s="319">
        <f t="shared" si="7"/>
        <v>2.7089798007839163</v>
      </c>
      <c r="R4" s="318">
        <f t="shared" si="8"/>
        <v>19.711884222893179</v>
      </c>
      <c r="S4" s="317">
        <f t="shared" si="9"/>
        <v>28.309694779617665</v>
      </c>
      <c r="T4" s="319">
        <f t="shared" si="10"/>
        <v>34.496336010246893</v>
      </c>
      <c r="U4" s="320">
        <f>$B$21*2*PI()*F4*L4/1000</f>
        <v>206.12321101943166</v>
      </c>
      <c r="V4" s="317">
        <f t="shared" si="11"/>
        <v>-26.761730492067041</v>
      </c>
      <c r="W4" s="317">
        <f t="shared" si="12"/>
        <v>228.05824123967255</v>
      </c>
      <c r="X4" s="321">
        <f t="shared" si="13"/>
        <v>229.62306420798132</v>
      </c>
      <c r="Y4" s="321">
        <f t="shared" si="14"/>
        <v>397.71881379787419</v>
      </c>
      <c r="Z4" s="304" t="s">
        <v>160</v>
      </c>
      <c r="AA4" s="305">
        <v>0</v>
      </c>
      <c r="AB4" s="323">
        <f>U9</f>
        <v>210.08608177763344</v>
      </c>
      <c r="AD4" s="306"/>
      <c r="AE4" s="306"/>
    </row>
    <row r="5" spans="1:31" ht="15.75">
      <c r="A5" s="297" t="s">
        <v>82</v>
      </c>
      <c r="B5" s="33">
        <f>RESUM!G12</f>
        <v>667.48800000000006</v>
      </c>
      <c r="C5" s="33"/>
      <c r="D5" s="324" t="s">
        <v>207</v>
      </c>
      <c r="E5" s="325">
        <f t="shared" si="0"/>
        <v>7.0323781677049757</v>
      </c>
      <c r="F5" s="326">
        <f t="shared" ref="F5:F23" si="15">$F$3+H5/120*$B$3</f>
        <v>34</v>
      </c>
      <c r="G5" s="327">
        <f t="shared" si="1"/>
        <v>1.8744906303551297E-2</v>
      </c>
      <c r="H5" s="328">
        <f>B27</f>
        <v>12.511999999999944</v>
      </c>
      <c r="I5" s="329">
        <f t="shared" ref="I5:I17" si="16">I4</f>
        <v>667.48799900000006</v>
      </c>
      <c r="J5" s="330">
        <f t="shared" si="2"/>
        <v>450.70795798229551</v>
      </c>
      <c r="K5" s="329">
        <f t="shared" si="3"/>
        <v>6447.9720544371849</v>
      </c>
      <c r="L5" s="328">
        <f>L4</f>
        <v>253.86340501447495</v>
      </c>
      <c r="M5" s="329">
        <f t="shared" si="4"/>
        <v>735.95480644765291</v>
      </c>
      <c r="N5" s="329">
        <f t="shared" si="5"/>
        <v>778.50889881808394</v>
      </c>
      <c r="O5" s="331">
        <f t="shared" si="6"/>
        <v>1.5479642875506245</v>
      </c>
      <c r="P5" s="330">
        <f t="shared" si="6"/>
        <v>4.4875777096239666</v>
      </c>
      <c r="Q5" s="332">
        <f t="shared" si="7"/>
        <v>4.7470566812969484</v>
      </c>
      <c r="R5" s="331">
        <f t="shared" si="8"/>
        <v>19.894917463557913</v>
      </c>
      <c r="S5" s="330">
        <f t="shared" si="9"/>
        <v>57.675741528598586</v>
      </c>
      <c r="T5" s="332">
        <f t="shared" si="10"/>
        <v>61.010645806740101</v>
      </c>
      <c r="U5" s="333">
        <f>$B$21*1*2*PI()*F5*L5/1000</f>
        <v>208.03715282542561</v>
      </c>
      <c r="V5" s="330">
        <f t="shared" si="11"/>
        <v>-56.127777241047959</v>
      </c>
      <c r="W5" s="330">
        <f t="shared" si="12"/>
        <v>232.4196479986075</v>
      </c>
      <c r="X5" s="334">
        <f t="shared" si="13"/>
        <v>239.10085770196918</v>
      </c>
      <c r="Y5" s="334">
        <f t="shared" si="14"/>
        <v>414.13483367310693</v>
      </c>
      <c r="Z5" s="304" t="s">
        <v>208</v>
      </c>
      <c r="AA5" s="335">
        <f>AA4+O9</f>
        <v>1.5530986674796095</v>
      </c>
      <c r="AB5" s="323">
        <f>AB4+0</f>
        <v>210.08608177763344</v>
      </c>
      <c r="AD5" s="306"/>
      <c r="AE5" s="306"/>
    </row>
    <row r="6" spans="1:31" ht="15.75">
      <c r="A6" s="297" t="s">
        <v>81</v>
      </c>
      <c r="B6" s="36">
        <f>RESUM!G13</f>
        <v>433.37491541293116</v>
      </c>
      <c r="C6" s="36"/>
      <c r="D6" s="336"/>
      <c r="E6" s="312">
        <f t="shared" si="0"/>
        <v>7.0870535586533778</v>
      </c>
      <c r="F6" s="313">
        <f t="shared" si="15"/>
        <v>34.055338461538462</v>
      </c>
      <c r="G6" s="314">
        <f t="shared" si="1"/>
        <v>2.0403017359371545E-2</v>
      </c>
      <c r="H6" s="315">
        <f>H5+($H$18-$H$5)/13</f>
        <v>13.618769230769178</v>
      </c>
      <c r="I6" s="316">
        <f t="shared" si="16"/>
        <v>667.48799900000006</v>
      </c>
      <c r="J6" s="317">
        <f t="shared" si="2"/>
        <v>492.15781100109808</v>
      </c>
      <c r="K6" s="316">
        <f t="shared" si="3"/>
        <v>7040.9668955361876</v>
      </c>
      <c r="L6" s="315">
        <f>L5+(L$18-L$5)/13</f>
        <v>254.0739123210538</v>
      </c>
      <c r="M6" s="316">
        <f t="shared" si="4"/>
        <v>803.02400728755106</v>
      </c>
      <c r="N6" s="316">
        <f t="shared" si="5"/>
        <v>842.25952603831286</v>
      </c>
      <c r="O6" s="318">
        <f t="shared" si="6"/>
        <v>1.5492478825328708</v>
      </c>
      <c r="P6" s="317">
        <f t="shared" si="6"/>
        <v>4.8965406623142256</v>
      </c>
      <c r="Q6" s="319">
        <f t="shared" si="7"/>
        <v>5.1357842107344442</v>
      </c>
      <c r="R6" s="318">
        <f t="shared" si="8"/>
        <v>19.943822479139545</v>
      </c>
      <c r="S6" s="317">
        <f t="shared" si="9"/>
        <v>63.034288335721698</v>
      </c>
      <c r="T6" s="319">
        <f t="shared" si="10"/>
        <v>66.11412527645156</v>
      </c>
      <c r="U6" s="320">
        <f t="shared" ref="U6:U23" si="17">$B$21*1*2*PI()*F6*L6/1000</f>
        <v>208.548542742932</v>
      </c>
      <c r="V6" s="317">
        <f t="shared" si="11"/>
        <v>-61.48504045318883</v>
      </c>
      <c r="W6" s="317">
        <f t="shared" si="12"/>
        <v>233.38890588438576</v>
      </c>
      <c r="X6" s="321">
        <f t="shared" si="13"/>
        <v>241.35200763499139</v>
      </c>
      <c r="Y6" s="321">
        <f t="shared" si="14"/>
        <v>418.03393973255663</v>
      </c>
      <c r="Z6" s="304" t="s">
        <v>196</v>
      </c>
      <c r="AA6" s="335">
        <f>AA5+0</f>
        <v>1.5530986674796095</v>
      </c>
      <c r="AB6" s="335">
        <f>AB5+P9</f>
        <v>216.22131909771156</v>
      </c>
      <c r="AD6" s="306"/>
      <c r="AE6" s="306"/>
    </row>
    <row r="7" spans="1:31" ht="15.75">
      <c r="A7" s="297" t="s">
        <v>130</v>
      </c>
      <c r="B7" s="30">
        <f>RESUM!G14</f>
        <v>400</v>
      </c>
      <c r="C7" s="30"/>
      <c r="D7" s="336"/>
      <c r="E7" s="312">
        <f t="shared" si="0"/>
        <v>7.1449223035813443</v>
      </c>
      <c r="F7" s="313">
        <f t="shared" si="15"/>
        <v>34.110676923076923</v>
      </c>
      <c r="G7" s="314">
        <f t="shared" si="1"/>
        <v>2.2061128415191793E-2</v>
      </c>
      <c r="H7" s="315">
        <f t="shared" ref="H7:H17" si="18">H6+($H$18-$H$5)/13</f>
        <v>14.725538461538413</v>
      </c>
      <c r="I7" s="316">
        <f t="shared" si="16"/>
        <v>667.48799900000006</v>
      </c>
      <c r="J7" s="317">
        <f t="shared" si="2"/>
        <v>533.86518779072412</v>
      </c>
      <c r="K7" s="316">
        <f t="shared" si="3"/>
        <v>7637.6459539830648</v>
      </c>
      <c r="L7" s="315">
        <f t="shared" ref="L7:L17" si="19">L6+(L$18-L$5)/13</f>
        <v>254.28441962763264</v>
      </c>
      <c r="M7" s="316">
        <f t="shared" si="4"/>
        <v>870.41559972685047</v>
      </c>
      <c r="N7" s="316">
        <f t="shared" si="5"/>
        <v>906.79869999532684</v>
      </c>
      <c r="O7" s="318">
        <f t="shared" si="6"/>
        <v>1.5505314775151171</v>
      </c>
      <c r="P7" s="317">
        <f t="shared" si="6"/>
        <v>5.3074694386427943</v>
      </c>
      <c r="Q7" s="319">
        <f t="shared" si="7"/>
        <v>5.5293200038424688</v>
      </c>
      <c r="R7" s="318">
        <f t="shared" si="8"/>
        <v>19.992781196339703</v>
      </c>
      <c r="S7" s="317">
        <f t="shared" si="9"/>
        <v>68.435292499252583</v>
      </c>
      <c r="T7" s="319">
        <f t="shared" si="10"/>
        <v>71.295866355792128</v>
      </c>
      <c r="U7" s="320">
        <f t="shared" si="17"/>
        <v>209.06049420746876</v>
      </c>
      <c r="V7" s="317">
        <f t="shared" si="11"/>
        <v>-66.884761021737461</v>
      </c>
      <c r="W7" s="317">
        <f t="shared" si="12"/>
        <v>234.36074484245125</v>
      </c>
      <c r="X7" s="321">
        <f t="shared" si="13"/>
        <v>243.71813633794977</v>
      </c>
      <c r="Y7" s="321">
        <f t="shared" si="14"/>
        <v>422.13219486332764</v>
      </c>
      <c r="Z7" s="304" t="s">
        <v>209</v>
      </c>
      <c r="AA7" s="335">
        <f>AA6-S9</f>
        <v>-77.812234020824604</v>
      </c>
      <c r="AB7" s="335">
        <f>AB6</f>
        <v>216.22131909771156</v>
      </c>
      <c r="AD7" s="306"/>
      <c r="AE7" s="306"/>
    </row>
    <row r="8" spans="1:31" ht="15.75">
      <c r="A8" s="297" t="s">
        <v>35</v>
      </c>
      <c r="B8" s="39">
        <f>RESUM!G15</f>
        <v>777.67118882433817</v>
      </c>
      <c r="C8" s="39"/>
      <c r="D8" s="336"/>
      <c r="E8" s="312">
        <f t="shared" si="0"/>
        <v>7.2059560246045118</v>
      </c>
      <c r="F8" s="313">
        <f t="shared" si="15"/>
        <v>34.166015384615385</v>
      </c>
      <c r="G8" s="314">
        <f t="shared" si="1"/>
        <v>2.3719239471012041E-2</v>
      </c>
      <c r="H8" s="315">
        <f t="shared" si="18"/>
        <v>15.832307692307648</v>
      </c>
      <c r="I8" s="316">
        <f t="shared" si="16"/>
        <v>667.48799900000006</v>
      </c>
      <c r="J8" s="317">
        <f t="shared" si="2"/>
        <v>575.83015788376952</v>
      </c>
      <c r="K8" s="316">
        <f t="shared" si="3"/>
        <v>8238.0102245333492</v>
      </c>
      <c r="L8" s="315">
        <f t="shared" si="19"/>
        <v>254.49492693421149</v>
      </c>
      <c r="M8" s="316">
        <f t="shared" si="4"/>
        <v>938.13011093225884</v>
      </c>
      <c r="N8" s="316">
        <f t="shared" si="5"/>
        <v>972.03691950101461</v>
      </c>
      <c r="O8" s="318">
        <f t="shared" si="6"/>
        <v>1.5518150724973632</v>
      </c>
      <c r="P8" s="317">
        <f t="shared" si="6"/>
        <v>5.720367253075489</v>
      </c>
      <c r="Q8" s="319">
        <f t="shared" si="7"/>
        <v>5.9271183157828409</v>
      </c>
      <c r="R8" s="318">
        <f t="shared" si="8"/>
        <v>20.041793615158397</v>
      </c>
      <c r="S8" s="317">
        <f t="shared" si="9"/>
        <v>73.878918900141244</v>
      </c>
      <c r="T8" s="319">
        <f t="shared" si="10"/>
        <v>76.549122458498843</v>
      </c>
      <c r="U8" s="320">
        <f t="shared" si="17"/>
        <v>209.5730072190359</v>
      </c>
      <c r="V8" s="317">
        <f t="shared" si="11"/>
        <v>-72.327103827643882</v>
      </c>
      <c r="W8" s="317">
        <f t="shared" si="12"/>
        <v>235.33516808726978</v>
      </c>
      <c r="X8" s="321">
        <f t="shared" si="13"/>
        <v>246.19880439749966</v>
      </c>
      <c r="Y8" s="321">
        <f t="shared" si="14"/>
        <v>426.42883797918131</v>
      </c>
      <c r="Z8" s="304" t="s">
        <v>210</v>
      </c>
      <c r="AA8" s="335">
        <f>AA7</f>
        <v>-77.812234020824604</v>
      </c>
      <c r="AB8" s="335">
        <f>AB7+R9</f>
        <v>236.31217883330717</v>
      </c>
      <c r="AC8" s="297">
        <f>(AB8^2+AA8^2)^0.5</f>
        <v>248.79346781669435</v>
      </c>
      <c r="AD8" s="306"/>
      <c r="AE8" s="306"/>
    </row>
    <row r="9" spans="1:31" ht="15.75">
      <c r="A9" s="297" t="s">
        <v>83</v>
      </c>
      <c r="B9" s="39">
        <f>RESUM!G16</f>
        <v>34</v>
      </c>
      <c r="C9" s="39"/>
      <c r="D9" s="336"/>
      <c r="E9" s="312">
        <f t="shared" si="0"/>
        <v>7.2701234713031777</v>
      </c>
      <c r="F9" s="313">
        <f t="shared" si="15"/>
        <v>34.221353846153846</v>
      </c>
      <c r="G9" s="314">
        <f t="shared" si="1"/>
        <v>2.537735052683229E-2</v>
      </c>
      <c r="H9" s="315">
        <f t="shared" si="18"/>
        <v>16.939076923076883</v>
      </c>
      <c r="I9" s="316">
        <f t="shared" si="16"/>
        <v>667.48799900000006</v>
      </c>
      <c r="J9" s="317">
        <f t="shared" si="2"/>
        <v>618.05278284285225</v>
      </c>
      <c r="K9" s="316">
        <f t="shared" si="3"/>
        <v>8842.0605879215236</v>
      </c>
      <c r="L9" s="315">
        <f t="shared" si="19"/>
        <v>254.70543424079034</v>
      </c>
      <c r="M9" s="316">
        <f t="shared" si="4"/>
        <v>1006.168068070484</v>
      </c>
      <c r="N9" s="316">
        <f t="shared" si="5"/>
        <v>1037.906084111891</v>
      </c>
      <c r="O9" s="318">
        <f t="shared" si="6"/>
        <v>1.5530986674796095</v>
      </c>
      <c r="P9" s="317">
        <f t="shared" si="6"/>
        <v>6.1352373200781258</v>
      </c>
      <c r="Q9" s="319">
        <f t="shared" si="7"/>
        <v>6.3287638954701384</v>
      </c>
      <c r="R9" s="318">
        <f t="shared" si="8"/>
        <v>20.090859735595615</v>
      </c>
      <c r="S9" s="317">
        <f t="shared" si="9"/>
        <v>79.365332688304207</v>
      </c>
      <c r="T9" s="319">
        <f t="shared" si="10"/>
        <v>81.868789398894776</v>
      </c>
      <c r="U9" s="320">
        <f t="shared" si="17"/>
        <v>210.08608177763344</v>
      </c>
      <c r="V9" s="317">
        <f t="shared" si="11"/>
        <v>-77.812234020824604</v>
      </c>
      <c r="W9" s="317">
        <f t="shared" si="12"/>
        <v>236.31217883330717</v>
      </c>
      <c r="X9" s="321">
        <f t="shared" si="13"/>
        <v>248.79346781669435</v>
      </c>
      <c r="Y9" s="321">
        <f t="shared" si="14"/>
        <v>430.9229268497669</v>
      </c>
      <c r="Z9" s="304" t="s">
        <v>203</v>
      </c>
      <c r="AA9" s="305">
        <v>0</v>
      </c>
      <c r="AB9" s="305">
        <v>0</v>
      </c>
      <c r="AD9" s="306"/>
      <c r="AE9" s="306"/>
    </row>
    <row r="10" spans="1:31" ht="15.75">
      <c r="A10" s="297" t="s">
        <v>133</v>
      </c>
      <c r="B10" s="41">
        <f>RESUM!G17</f>
        <v>0.84981930429268282</v>
      </c>
      <c r="C10" s="41"/>
      <c r="D10" s="336"/>
      <c r="E10" s="312">
        <f t="shared" si="0"/>
        <v>7.3373907754989283</v>
      </c>
      <c r="F10" s="313">
        <f t="shared" si="15"/>
        <v>34.276692307692308</v>
      </c>
      <c r="G10" s="314">
        <f t="shared" si="1"/>
        <v>2.7035461582652538E-2</v>
      </c>
      <c r="H10" s="315">
        <f t="shared" si="18"/>
        <v>18.045846153846117</v>
      </c>
      <c r="I10" s="316">
        <f t="shared" si="16"/>
        <v>667.48799900000006</v>
      </c>
      <c r="J10" s="317">
        <f t="shared" si="2"/>
        <v>660.53311621532816</v>
      </c>
      <c r="K10" s="316">
        <f t="shared" si="3"/>
        <v>9449.7978102131692</v>
      </c>
      <c r="L10" s="315">
        <f t="shared" si="19"/>
        <v>254.91594154736919</v>
      </c>
      <c r="M10" s="316">
        <f t="shared" si="4"/>
        <v>1074.5299983082332</v>
      </c>
      <c r="N10" s="316">
        <f t="shared" si="5"/>
        <v>1104.3535912556599</v>
      </c>
      <c r="O10" s="318">
        <f t="shared" si="6"/>
        <v>1.5543822624618557</v>
      </c>
      <c r="P10" s="317">
        <f t="shared" si="6"/>
        <v>6.5520828541165157</v>
      </c>
      <c r="Q10" s="319">
        <f t="shared" si="7"/>
        <v>6.7339359920527651</v>
      </c>
      <c r="R10" s="318">
        <f t="shared" si="8"/>
        <v>20.139979557651369</v>
      </c>
      <c r="S10" s="317">
        <f t="shared" si="9"/>
        <v>84.894699282624444</v>
      </c>
      <c r="T10" s="319">
        <f t="shared" si="10"/>
        <v>87.250952676001475</v>
      </c>
      <c r="U10" s="320">
        <f t="shared" si="17"/>
        <v>210.59971788326129</v>
      </c>
      <c r="V10" s="317">
        <f t="shared" si="11"/>
        <v>-83.340317020162587</v>
      </c>
      <c r="W10" s="317">
        <f t="shared" si="12"/>
        <v>237.29178029502918</v>
      </c>
      <c r="X10" s="321">
        <f t="shared" si="13"/>
        <v>251.50148595307661</v>
      </c>
      <c r="Y10" s="321">
        <f t="shared" si="14"/>
        <v>435.61335184979896</v>
      </c>
      <c r="AD10" s="306"/>
      <c r="AE10" s="306"/>
    </row>
    <row r="11" spans="1:31" ht="15.75">
      <c r="A11" s="297" t="s">
        <v>146</v>
      </c>
      <c r="B11" s="44">
        <f>RESUM!G18</f>
        <v>0.94649985008186766</v>
      </c>
      <c r="C11" s="44"/>
      <c r="D11" s="336"/>
      <c r="E11" s="312">
        <f t="shared" si="0"/>
        <v>7.4077217082969753</v>
      </c>
      <c r="F11" s="313">
        <f t="shared" si="15"/>
        <v>34.332030769230769</v>
      </c>
      <c r="G11" s="314">
        <f t="shared" si="1"/>
        <v>2.8693572638472786E-2</v>
      </c>
      <c r="H11" s="315">
        <f t="shared" si="18"/>
        <v>19.152615384615352</v>
      </c>
      <c r="I11" s="316">
        <f t="shared" si="16"/>
        <v>667.48799900000006</v>
      </c>
      <c r="J11" s="317">
        <f t="shared" si="2"/>
        <v>703.27120348791846</v>
      </c>
      <c r="K11" s="316">
        <f t="shared" si="3"/>
        <v>10061.222542155852</v>
      </c>
      <c r="L11" s="315">
        <f t="shared" si="19"/>
        <v>255.12644885394803</v>
      </c>
      <c r="M11" s="316">
        <f t="shared" si="4"/>
        <v>1143.2164288122144</v>
      </c>
      <c r="N11" s="316">
        <f t="shared" si="5"/>
        <v>1171.338255164143</v>
      </c>
      <c r="O11" s="318">
        <f t="shared" si="6"/>
        <v>1.5556658574441022</v>
      </c>
      <c r="P11" s="317">
        <f t="shared" si="6"/>
        <v>6.9709070696564757</v>
      </c>
      <c r="Q11" s="319">
        <f t="shared" si="7"/>
        <v>7.1423834700892339</v>
      </c>
      <c r="R11" s="318">
        <f t="shared" si="8"/>
        <v>20.189153081325649</v>
      </c>
      <c r="S11" s="317">
        <f t="shared" si="9"/>
        <v>90.467184370951415</v>
      </c>
      <c r="T11" s="319">
        <f t="shared" si="10"/>
        <v>92.692574406739396</v>
      </c>
      <c r="U11" s="320">
        <f t="shared" si="17"/>
        <v>211.11391553591957</v>
      </c>
      <c r="V11" s="317">
        <f t="shared" si="11"/>
        <v>-88.911518513507318</v>
      </c>
      <c r="W11" s="317">
        <f t="shared" si="12"/>
        <v>238.27397568690171</v>
      </c>
      <c r="X11" s="321">
        <f t="shared" si="13"/>
        <v>254.32212961915047</v>
      </c>
      <c r="Y11" s="321">
        <f t="shared" si="14"/>
        <v>440.49884998948625</v>
      </c>
      <c r="AD11" s="306"/>
      <c r="AE11" s="306"/>
    </row>
    <row r="12" spans="1:31" ht="15.75">
      <c r="A12" s="297" t="s">
        <v>147</v>
      </c>
      <c r="B12" s="47">
        <f>RESUM!G19</f>
        <v>13.89</v>
      </c>
      <c r="C12" s="47"/>
      <c r="D12" s="336"/>
      <c r="E12" s="312">
        <f t="shared" si="0"/>
        <v>7.4810779366173614</v>
      </c>
      <c r="F12" s="313">
        <f t="shared" si="15"/>
        <v>34.387369230769231</v>
      </c>
      <c r="G12" s="314">
        <f t="shared" si="1"/>
        <v>3.0351683694293034E-2</v>
      </c>
      <c r="H12" s="315">
        <f t="shared" si="18"/>
        <v>20.259384615384587</v>
      </c>
      <c r="I12" s="316">
        <f t="shared" si="16"/>
        <v>667.48799900000006</v>
      </c>
      <c r="J12" s="317">
        <f t="shared" si="2"/>
        <v>746.26708204124873</v>
      </c>
      <c r="K12" s="316">
        <f t="shared" si="3"/>
        <v>10676.335318528751</v>
      </c>
      <c r="L12" s="315">
        <f t="shared" si="19"/>
        <v>255.33695616052688</v>
      </c>
      <c r="M12" s="316">
        <f t="shared" si="4"/>
        <v>1212.2278867491355</v>
      </c>
      <c r="N12" s="316">
        <f t="shared" si="5"/>
        <v>1238.8274337427299</v>
      </c>
      <c r="O12" s="318">
        <f t="shared" si="6"/>
        <v>1.5569494524263483</v>
      </c>
      <c r="P12" s="317">
        <f t="shared" si="6"/>
        <v>7.3917131811638228</v>
      </c>
      <c r="Q12" s="319">
        <f t="shared" si="7"/>
        <v>7.5539072902704936</v>
      </c>
      <c r="R12" s="318">
        <f t="shared" si="8"/>
        <v>20.238380306618463</v>
      </c>
      <c r="S12" s="317">
        <f t="shared" si="9"/>
        <v>96.082953910101139</v>
      </c>
      <c r="T12" s="319">
        <f t="shared" si="10"/>
        <v>98.19127287863185</v>
      </c>
      <c r="U12" s="320">
        <f t="shared" si="17"/>
        <v>211.6286747356082</v>
      </c>
      <c r="V12" s="317">
        <f t="shared" si="11"/>
        <v>-94.526004457674787</v>
      </c>
      <c r="W12" s="317">
        <f t="shared" si="12"/>
        <v>239.25876822339049</v>
      </c>
      <c r="X12" s="321">
        <f t="shared" si="13"/>
        <v>257.25458925062242</v>
      </c>
      <c r="Y12" s="321">
        <f t="shared" si="14"/>
        <v>445.57801906234033</v>
      </c>
      <c r="AB12" s="335"/>
      <c r="AD12" s="306"/>
      <c r="AE12" s="306"/>
    </row>
    <row r="13" spans="1:31" ht="15.75">
      <c r="B13" s="49">
        <f>RESUM!G20</f>
        <v>0</v>
      </c>
      <c r="C13" s="49"/>
      <c r="E13" s="312">
        <f t="shared" si="0"/>
        <v>7.5574192766776793</v>
      </c>
      <c r="F13" s="313">
        <f t="shared" si="15"/>
        <v>34.442707692307692</v>
      </c>
      <c r="G13" s="314">
        <f t="shared" si="1"/>
        <v>3.2009794750113285E-2</v>
      </c>
      <c r="H13" s="315">
        <f t="shared" si="18"/>
        <v>21.366153846153821</v>
      </c>
      <c r="I13" s="316">
        <f t="shared" si="16"/>
        <v>667.48799900000006</v>
      </c>
      <c r="J13" s="317">
        <f t="shared" si="2"/>
        <v>789.52078110429807</v>
      </c>
      <c r="K13" s="316">
        <f t="shared" si="3"/>
        <v>11295.136557490974</v>
      </c>
      <c r="L13" s="315">
        <f t="shared" si="19"/>
        <v>255.54746346710573</v>
      </c>
      <c r="M13" s="316">
        <f t="shared" si="4"/>
        <v>1281.5648992857034</v>
      </c>
      <c r="N13" s="316">
        <f t="shared" si="5"/>
        <v>1306.794971357652</v>
      </c>
      <c r="O13" s="318">
        <f t="shared" si="6"/>
        <v>1.5582330474085946</v>
      </c>
      <c r="P13" s="317">
        <f t="shared" si="6"/>
        <v>7.8145044031043671</v>
      </c>
      <c r="Q13" s="319">
        <f t="shared" si="7"/>
        <v>7.9683479653045906</v>
      </c>
      <c r="R13" s="318">
        <f t="shared" si="8"/>
        <v>20.287661233529803</v>
      </c>
      <c r="S13" s="317">
        <f t="shared" si="9"/>
        <v>101.742174125856</v>
      </c>
      <c r="T13" s="319">
        <f t="shared" si="10"/>
        <v>103.74516467856449</v>
      </c>
      <c r="U13" s="320">
        <f t="shared" si="17"/>
        <v>212.1439954823272</v>
      </c>
      <c r="V13" s="317">
        <f t="shared" si="11"/>
        <v>-100.1839410784474</v>
      </c>
      <c r="W13" s="317">
        <f t="shared" si="12"/>
        <v>240.24616111896137</v>
      </c>
      <c r="X13" s="321">
        <f t="shared" si="13"/>
        <v>260.29798305482075</v>
      </c>
      <c r="Y13" s="321">
        <f t="shared" si="14"/>
        <v>450.84933175865217</v>
      </c>
      <c r="AD13" s="306"/>
      <c r="AE13" s="306"/>
    </row>
    <row r="14" spans="1:31" ht="15.75">
      <c r="B14" s="50" t="str">
        <f>RESUM!G21</f>
        <v>MAC QI 315 L</v>
      </c>
      <c r="C14" s="50"/>
      <c r="E14" s="312">
        <f t="shared" si="0"/>
        <v>7.636703942155906</v>
      </c>
      <c r="F14" s="313">
        <f t="shared" si="15"/>
        <v>34.498046153846154</v>
      </c>
      <c r="G14" s="314">
        <f t="shared" si="1"/>
        <v>3.3667905805933533E-2</v>
      </c>
      <c r="H14" s="315">
        <f t="shared" si="18"/>
        <v>22.472923076923056</v>
      </c>
      <c r="I14" s="316">
        <f t="shared" si="16"/>
        <v>667.48799900000006</v>
      </c>
      <c r="J14" s="317">
        <f t="shared" si="2"/>
        <v>833.03232170876424</v>
      </c>
      <c r="K14" s="316">
        <f t="shared" si="3"/>
        <v>11917.626559928713</v>
      </c>
      <c r="L14" s="315">
        <f t="shared" si="19"/>
        <v>255.75797077368458</v>
      </c>
      <c r="M14" s="316">
        <f t="shared" si="4"/>
        <v>1351.2279935886258</v>
      </c>
      <c r="N14" s="316">
        <f t="shared" si="5"/>
        <v>1375.2197025464027</v>
      </c>
      <c r="O14" s="318">
        <f t="shared" si="6"/>
        <v>1.5595166423908409</v>
      </c>
      <c r="P14" s="317">
        <f t="shared" si="6"/>
        <v>8.239283949943923</v>
      </c>
      <c r="Q14" s="319">
        <f t="shared" si="7"/>
        <v>8.3855764361013101</v>
      </c>
      <c r="R14" s="318">
        <f t="shared" si="8"/>
        <v>20.336995862059677</v>
      </c>
      <c r="S14" s="317">
        <f t="shared" si="9"/>
        <v>107.44501151296491</v>
      </c>
      <c r="T14" s="319">
        <f t="shared" si="10"/>
        <v>109.35274984980759</v>
      </c>
      <c r="U14" s="320">
        <f t="shared" si="17"/>
        <v>212.65987777607654</v>
      </c>
      <c r="V14" s="317">
        <f t="shared" si="11"/>
        <v>-105.88549487057406</v>
      </c>
      <c r="W14" s="317">
        <f t="shared" si="12"/>
        <v>241.23615758808015</v>
      </c>
      <c r="X14" s="321">
        <f t="shared" si="13"/>
        <v>263.4513650597533</v>
      </c>
      <c r="Y14" s="321">
        <f t="shared" si="14"/>
        <v>456.31114960686875</v>
      </c>
      <c r="AD14" s="306"/>
      <c r="AE14" s="306"/>
    </row>
    <row r="15" spans="1:31" ht="15.75">
      <c r="B15" s="365" t="str">
        <f>RESUM!G22</f>
        <v>F61</v>
      </c>
      <c r="C15" s="51"/>
      <c r="E15" s="312">
        <f t="shared" si="0"/>
        <v>7.7188887850448218</v>
      </c>
      <c r="F15" s="313">
        <f t="shared" si="15"/>
        <v>34.553384615384616</v>
      </c>
      <c r="G15" s="314">
        <f t="shared" si="1"/>
        <v>3.5326016861753781E-2</v>
      </c>
      <c r="H15" s="315">
        <f t="shared" si="18"/>
        <v>23.579692307692291</v>
      </c>
      <c r="I15" s="316">
        <f t="shared" si="16"/>
        <v>667.48799900000006</v>
      </c>
      <c r="J15" s="317">
        <f t="shared" si="2"/>
        <v>876.80171664333659</v>
      </c>
      <c r="K15" s="316">
        <f t="shared" si="3"/>
        <v>12543.805508801039</v>
      </c>
      <c r="L15" s="315">
        <f t="shared" si="19"/>
        <v>255.96847808026342</v>
      </c>
      <c r="M15" s="316">
        <f t="shared" si="4"/>
        <v>1421.2176968246113</v>
      </c>
      <c r="N15" s="316">
        <f t="shared" si="5"/>
        <v>1444.0843477921153</v>
      </c>
      <c r="O15" s="318">
        <f t="shared" si="6"/>
        <v>1.5608002373730869</v>
      </c>
      <c r="P15" s="317">
        <f t="shared" si="6"/>
        <v>8.6660550361483111</v>
      </c>
      <c r="Q15" s="319">
        <f t="shared" si="7"/>
        <v>8.8054873386164942</v>
      </c>
      <c r="R15" s="318">
        <f t="shared" si="8"/>
        <v>20.386384192208084</v>
      </c>
      <c r="S15" s="317">
        <f t="shared" si="9"/>
        <v>113.19163283514342</v>
      </c>
      <c r="T15" s="319">
        <f t="shared" si="10"/>
        <v>115.01282712949121</v>
      </c>
      <c r="U15" s="320">
        <f t="shared" si="17"/>
        <v>213.17632161685628</v>
      </c>
      <c r="V15" s="317">
        <f t="shared" si="11"/>
        <v>-111.63083259777034</v>
      </c>
      <c r="W15" s="317">
        <f t="shared" si="12"/>
        <v>242.22876084521269</v>
      </c>
      <c r="X15" s="321">
        <f t="shared" si="13"/>
        <v>266.71373299303258</v>
      </c>
      <c r="Y15" s="321">
        <f t="shared" si="14"/>
        <v>461.96173662029196</v>
      </c>
      <c r="AD15" s="306"/>
      <c r="AE15" s="306"/>
    </row>
    <row r="16" spans="1:31" ht="15.75">
      <c r="A16" s="297" t="s">
        <v>148</v>
      </c>
      <c r="B16" s="337">
        <f>RESUM!G23</f>
        <v>6.0976267432573108</v>
      </c>
      <c r="C16" s="53"/>
      <c r="E16" s="312">
        <f t="shared" si="0"/>
        <v>7.8039295275002969</v>
      </c>
      <c r="F16" s="313">
        <f t="shared" si="15"/>
        <v>34.608723076923077</v>
      </c>
      <c r="G16" s="314">
        <f t="shared" si="1"/>
        <v>3.6984127917574029E-2</v>
      </c>
      <c r="H16" s="315">
        <f t="shared" si="18"/>
        <v>24.686461538461526</v>
      </c>
      <c r="I16" s="316">
        <f t="shared" si="16"/>
        <v>667.48799900000006</v>
      </c>
      <c r="J16" s="317">
        <f t="shared" si="2"/>
        <v>920.82897040787941</v>
      </c>
      <c r="K16" s="316">
        <f t="shared" si="3"/>
        <v>13173.673468484452</v>
      </c>
      <c r="L16" s="315">
        <f t="shared" si="19"/>
        <v>256.17898538684227</v>
      </c>
      <c r="M16" s="316">
        <f t="shared" si="4"/>
        <v>1491.5345361603668</v>
      </c>
      <c r="N16" s="316">
        <f t="shared" si="5"/>
        <v>1513.3746876147202</v>
      </c>
      <c r="O16" s="318">
        <f t="shared" si="6"/>
        <v>1.5620838323553332</v>
      </c>
      <c r="P16" s="317">
        <f t="shared" si="6"/>
        <v>9.0948208761833413</v>
      </c>
      <c r="Q16" s="319">
        <f t="shared" si="7"/>
        <v>9.2279939677681959</v>
      </c>
      <c r="R16" s="318">
        <f t="shared" si="8"/>
        <v>20.435826223975013</v>
      </c>
      <c r="S16" s="317">
        <f t="shared" si="9"/>
        <v>118.98220512507334</v>
      </c>
      <c r="T16" s="319">
        <f t="shared" si="10"/>
        <v>120.7244305427925</v>
      </c>
      <c r="U16" s="320">
        <f t="shared" si="17"/>
        <v>213.6933270046664</v>
      </c>
      <c r="V16" s="317">
        <f t="shared" si="11"/>
        <v>-117.42012129271801</v>
      </c>
      <c r="W16" s="317">
        <f t="shared" si="12"/>
        <v>243.22397410482475</v>
      </c>
      <c r="X16" s="321">
        <f t="shared" si="13"/>
        <v>270.08403592908093</v>
      </c>
      <c r="Y16" s="321">
        <f t="shared" si="14"/>
        <v>467.79927254242625</v>
      </c>
      <c r="AD16" s="306"/>
      <c r="AE16" s="306"/>
    </row>
    <row r="17" spans="1:31" ht="15.75">
      <c r="A17" s="297" t="s">
        <v>149</v>
      </c>
      <c r="B17" s="55">
        <f>RESUM!G24</f>
        <v>5.2987451175068303</v>
      </c>
      <c r="C17" s="53"/>
      <c r="E17" s="312">
        <f t="shared" si="0"/>
        <v>7.8917809832761687</v>
      </c>
      <c r="F17" s="313">
        <f t="shared" si="15"/>
        <v>34.664061538461539</v>
      </c>
      <c r="G17" s="314">
        <f t="shared" si="1"/>
        <v>3.864223897339427E-2</v>
      </c>
      <c r="H17" s="315">
        <f t="shared" si="18"/>
        <v>25.79323076923076</v>
      </c>
      <c r="I17" s="316">
        <f t="shared" si="16"/>
        <v>667.48799900000006</v>
      </c>
      <c r="J17" s="317">
        <f t="shared" si="2"/>
        <v>965.11407916753285</v>
      </c>
      <c r="K17" s="316">
        <f t="shared" si="3"/>
        <v>13807.230384116223</v>
      </c>
      <c r="L17" s="315">
        <f t="shared" si="19"/>
        <v>256.38949269342112</v>
      </c>
      <c r="M17" s="316">
        <f t="shared" si="4"/>
        <v>1562.1790387625999</v>
      </c>
      <c r="N17" s="316">
        <f t="shared" si="5"/>
        <v>1583.0789371073163</v>
      </c>
      <c r="O17" s="318">
        <f t="shared" si="6"/>
        <v>1.5633674273375795</v>
      </c>
      <c r="P17" s="317">
        <f t="shared" si="6"/>
        <v>9.5255846845148273</v>
      </c>
      <c r="Q17" s="319">
        <f t="shared" si="7"/>
        <v>9.6530244635929296</v>
      </c>
      <c r="R17" s="318">
        <f t="shared" si="8"/>
        <v>20.485321957360476</v>
      </c>
      <c r="S17" s="317">
        <f t="shared" si="9"/>
        <v>124.81689568440309</v>
      </c>
      <c r="T17" s="319">
        <f t="shared" si="10"/>
        <v>126.48678138045838</v>
      </c>
      <c r="U17" s="320">
        <f t="shared" si="17"/>
        <v>214.21089393950689</v>
      </c>
      <c r="V17" s="317">
        <f t="shared" si="11"/>
        <v>-123.25352825706551</v>
      </c>
      <c r="W17" s="317">
        <f t="shared" si="12"/>
        <v>244.22180058138218</v>
      </c>
      <c r="X17" s="321">
        <f t="shared" si="13"/>
        <v>273.56118165234562</v>
      </c>
      <c r="Y17" s="321">
        <f t="shared" si="14"/>
        <v>473.82186560044153</v>
      </c>
      <c r="AD17" s="306"/>
      <c r="AE17" s="306"/>
    </row>
    <row r="18" spans="1:31" ht="15.75">
      <c r="A18" s="297" t="s">
        <v>150</v>
      </c>
      <c r="B18" s="55">
        <f>RESUM!G25</f>
        <v>26.803988453838304</v>
      </c>
      <c r="C18" s="53"/>
      <c r="E18" s="325">
        <f t="shared" si="0"/>
        <v>7.9823972676217352</v>
      </c>
      <c r="F18" s="326">
        <f t="shared" si="15"/>
        <v>34.7194</v>
      </c>
      <c r="G18" s="327">
        <f t="shared" si="1"/>
        <v>4.0300350029214525E-2</v>
      </c>
      <c r="H18" s="328">
        <v>26.9</v>
      </c>
      <c r="I18" s="329">
        <f>I12</f>
        <v>667.48799900000006</v>
      </c>
      <c r="J18" s="330">
        <f t="shared" si="2"/>
        <v>1009.6570307067199</v>
      </c>
      <c r="K18" s="329">
        <f t="shared" si="3"/>
        <v>14444.476080936402</v>
      </c>
      <c r="L18" s="328">
        <v>256.60000000000002</v>
      </c>
      <c r="M18" s="329">
        <f t="shared" si="4"/>
        <v>1633.1517317980197</v>
      </c>
      <c r="N18" s="329">
        <f t="shared" si="5"/>
        <v>1653.18726678948</v>
      </c>
      <c r="O18" s="331">
        <f t="shared" si="6"/>
        <v>1.564651022319826</v>
      </c>
      <c r="P18" s="330">
        <f t="shared" si="6"/>
        <v>9.958349675608595</v>
      </c>
      <c r="Q18" s="332">
        <f t="shared" si="7"/>
        <v>10.08051888958799</v>
      </c>
      <c r="R18" s="331">
        <f t="shared" si="8"/>
        <v>20.534871392364476</v>
      </c>
      <c r="S18" s="330">
        <f t="shared" si="9"/>
        <v>130.69587208374764</v>
      </c>
      <c r="T18" s="332">
        <f t="shared" si="10"/>
        <v>132.29925140692325</v>
      </c>
      <c r="U18" s="333">
        <f t="shared" si="17"/>
        <v>214.72902242137783</v>
      </c>
      <c r="V18" s="330">
        <f t="shared" si="11"/>
        <v>-129.13122106142782</v>
      </c>
      <c r="W18" s="330">
        <f t="shared" si="12"/>
        <v>245.22224348935092</v>
      </c>
      <c r="X18" s="334">
        <f t="shared" si="13"/>
        <v>277.14404369346607</v>
      </c>
      <c r="Y18" s="334">
        <f t="shared" si="14"/>
        <v>480.02756469217212</v>
      </c>
      <c r="AD18" s="306"/>
      <c r="AE18" s="306"/>
    </row>
    <row r="19" spans="1:31" ht="15.75">
      <c r="A19" s="297" t="s">
        <v>151</v>
      </c>
      <c r="B19" s="55">
        <f>RESUM!G26+B20*B26/B8</f>
        <v>0.36684555021533682</v>
      </c>
      <c r="C19" s="338" t="s">
        <v>211</v>
      </c>
      <c r="D19" s="324" t="s">
        <v>212</v>
      </c>
      <c r="E19" s="325">
        <f t="shared" si="0"/>
        <v>7.8680808824367929</v>
      </c>
      <c r="F19" s="326">
        <f t="shared" si="15"/>
        <v>35.2194</v>
      </c>
      <c r="G19" s="327">
        <f t="shared" si="1"/>
        <v>5.5281892791004317E-2</v>
      </c>
      <c r="H19" s="328">
        <f>H18+10</f>
        <v>36.9</v>
      </c>
      <c r="I19" s="329">
        <f>I18</f>
        <v>667.48799900000006</v>
      </c>
      <c r="J19" s="330">
        <f t="shared" si="2"/>
        <v>1108.1057168448449</v>
      </c>
      <c r="K19" s="329">
        <f t="shared" si="3"/>
        <v>15852.914440570654</v>
      </c>
      <c r="L19" s="328">
        <v>228.05</v>
      </c>
      <c r="M19" s="329">
        <f t="shared" si="4"/>
        <v>2019.6856887537742</v>
      </c>
      <c r="N19" s="329">
        <f t="shared" si="5"/>
        <v>2032.5198852303531</v>
      </c>
      <c r="O19" s="331">
        <f t="shared" ref="O19:P24" si="20">$B$16*L19/1000</f>
        <v>1.3905637787998297</v>
      </c>
      <c r="P19" s="330">
        <f t="shared" si="20"/>
        <v>12.315289468719074</v>
      </c>
      <c r="Q19" s="332">
        <f t="shared" si="7"/>
        <v>12.393547608382882</v>
      </c>
      <c r="R19" s="331">
        <f t="shared" si="8"/>
        <v>18.512929764005072</v>
      </c>
      <c r="S19" s="330">
        <f t="shared" si="9"/>
        <v>163.95658540348532</v>
      </c>
      <c r="T19" s="332">
        <f t="shared" si="10"/>
        <v>164.99845594919174</v>
      </c>
      <c r="U19" s="333">
        <f t="shared" si="17"/>
        <v>193.58598524549649</v>
      </c>
      <c r="V19" s="330">
        <f t="shared" si="11"/>
        <v>-162.5660216246855</v>
      </c>
      <c r="W19" s="330">
        <f t="shared" si="12"/>
        <v>224.41420447822063</v>
      </c>
      <c r="X19" s="334">
        <f t="shared" si="13"/>
        <v>277.1090878308944</v>
      </c>
      <c r="Y19" s="334">
        <f t="shared" si="14"/>
        <v>479.96701936217556</v>
      </c>
      <c r="AD19" s="306"/>
      <c r="AE19" s="306"/>
    </row>
    <row r="20" spans="1:31" ht="15.75">
      <c r="B20" s="42">
        <f>RESUM!G27</f>
        <v>0.16748884888044202</v>
      </c>
      <c r="C20" s="55"/>
      <c r="E20" s="325">
        <f t="shared" si="0"/>
        <v>7.7581005012376263</v>
      </c>
      <c r="F20" s="326">
        <f t="shared" si="15"/>
        <v>35.7194</v>
      </c>
      <c r="G20" s="327">
        <f t="shared" si="1"/>
        <v>7.0263435552794101E-2</v>
      </c>
      <c r="H20" s="328">
        <f>H19+10</f>
        <v>46.9</v>
      </c>
      <c r="I20" s="329">
        <f>I19</f>
        <v>667.48799900000006</v>
      </c>
      <c r="J20" s="330">
        <f t="shared" si="2"/>
        <v>1109.1995089196923</v>
      </c>
      <c r="K20" s="329">
        <f t="shared" si="3"/>
        <v>15868.5625794754</v>
      </c>
      <c r="L20" s="328">
        <v>201.15</v>
      </c>
      <c r="M20" s="329">
        <f t="shared" si="4"/>
        <v>2296.3729747892862</v>
      </c>
      <c r="N20" s="329">
        <f t="shared" si="5"/>
        <v>2305.1659727322449</v>
      </c>
      <c r="O20" s="331">
        <f t="shared" si="20"/>
        <v>1.2265376194062081</v>
      </c>
      <c r="P20" s="330">
        <f t="shared" si="20"/>
        <v>14.002425263568499</v>
      </c>
      <c r="Q20" s="332">
        <f t="shared" si="7"/>
        <v>14.05604168297889</v>
      </c>
      <c r="R20" s="331">
        <f t="shared" si="8"/>
        <v>16.561028934795797</v>
      </c>
      <c r="S20" s="330">
        <f t="shared" si="9"/>
        <v>189.06437623946539</v>
      </c>
      <c r="T20" s="332">
        <f t="shared" si="10"/>
        <v>189.78831903517474</v>
      </c>
      <c r="U20" s="333">
        <f t="shared" si="17"/>
        <v>173.175350627379</v>
      </c>
      <c r="V20" s="330">
        <f t="shared" si="11"/>
        <v>-187.83783862005919</v>
      </c>
      <c r="W20" s="330">
        <f t="shared" si="12"/>
        <v>203.7388048257433</v>
      </c>
      <c r="X20" s="334">
        <f t="shared" si="13"/>
        <v>277.11469504390726</v>
      </c>
      <c r="Y20" s="334">
        <f t="shared" si="14"/>
        <v>479.97673134000269</v>
      </c>
      <c r="AD20" s="306"/>
      <c r="AE20" s="306"/>
    </row>
    <row r="21" spans="1:31" ht="15.75">
      <c r="A21" s="297" t="s">
        <v>153</v>
      </c>
      <c r="B21" s="55">
        <f>RESUM!G28</f>
        <v>3.8360301787262152</v>
      </c>
      <c r="C21" s="55"/>
      <c r="E21" s="312">
        <f t="shared" si="0"/>
        <v>0.61321271357586082</v>
      </c>
      <c r="F21" s="313">
        <f t="shared" si="15"/>
        <v>36.2194</v>
      </c>
      <c r="G21" s="314">
        <f t="shared" si="1"/>
        <v>8.5244978314583886E-2</v>
      </c>
      <c r="H21" s="315">
        <f>H20+10</f>
        <v>56.9</v>
      </c>
      <c r="I21" s="316">
        <f>I20</f>
        <v>667.48799900000006</v>
      </c>
      <c r="J21" s="317">
        <f t="shared" si="2"/>
        <v>6.7842960524884672</v>
      </c>
      <c r="K21" s="316">
        <f t="shared" si="3"/>
        <v>97.058307005070688</v>
      </c>
      <c r="L21" s="315">
        <v>14.2</v>
      </c>
      <c r="M21" s="316">
        <f t="shared" si="4"/>
        <v>199.42851472437729</v>
      </c>
      <c r="N21" s="316">
        <f t="shared" si="5"/>
        <v>199.93342013073047</v>
      </c>
      <c r="O21" s="318">
        <f t="shared" si="20"/>
        <v>8.6586299754253818E-2</v>
      </c>
      <c r="P21" s="317">
        <f t="shared" si="20"/>
        <v>1.2160406447514474</v>
      </c>
      <c r="Q21" s="319">
        <f t="shared" si="7"/>
        <v>1.2191193694600417</v>
      </c>
      <c r="R21" s="318">
        <f t="shared" si="8"/>
        <v>1.1854758738842648</v>
      </c>
      <c r="S21" s="317">
        <f t="shared" si="9"/>
        <v>16.649133293684656</v>
      </c>
      <c r="T21" s="319">
        <f t="shared" si="10"/>
        <v>16.691284925925885</v>
      </c>
      <c r="U21" s="320">
        <f t="shared" si="17"/>
        <v>12.396282919889572</v>
      </c>
      <c r="V21" s="317">
        <f t="shared" si="11"/>
        <v>-16.562546993930404</v>
      </c>
      <c r="W21" s="317">
        <f t="shared" si="12"/>
        <v>14.797799438525285</v>
      </c>
      <c r="X21" s="321">
        <f t="shared" si="13"/>
        <v>22.210196558089535</v>
      </c>
      <c r="Y21" s="321">
        <f t="shared" si="14"/>
        <v>38.469188884702476</v>
      </c>
      <c r="AD21" s="306"/>
      <c r="AE21" s="306"/>
    </row>
    <row r="22" spans="1:31" ht="15.75">
      <c r="A22" s="297" t="s">
        <v>154</v>
      </c>
      <c r="B22" s="55">
        <f>RESUM!G29</f>
        <v>0.66330106259045651</v>
      </c>
      <c r="C22" s="55"/>
      <c r="E22" s="312">
        <f t="shared" si="0"/>
        <v>0.67066560389679997</v>
      </c>
      <c r="F22" s="313">
        <f t="shared" si="15"/>
        <v>36.7194</v>
      </c>
      <c r="G22" s="314">
        <f t="shared" si="1"/>
        <v>0.10022652107637368</v>
      </c>
      <c r="H22" s="315">
        <f>H21+10</f>
        <v>66.900000000000006</v>
      </c>
      <c r="I22" s="316">
        <f>I21</f>
        <v>667.48799900000006</v>
      </c>
      <c r="J22" s="317">
        <f t="shared" si="2"/>
        <v>7.726958669812138</v>
      </c>
      <c r="K22" s="316">
        <f t="shared" si="3"/>
        <v>110.54433960249027</v>
      </c>
      <c r="L22" s="315">
        <v>13.9</v>
      </c>
      <c r="M22" s="316">
        <f t="shared" si="4"/>
        <v>232.69223260866701</v>
      </c>
      <c r="N22" s="316">
        <f t="shared" si="5"/>
        <v>233.10702502585801</v>
      </c>
      <c r="O22" s="318">
        <f t="shared" si="20"/>
        <v>8.4757011731276616E-2</v>
      </c>
      <c r="P22" s="317">
        <f t="shared" si="20"/>
        <v>1.4188703805028589</v>
      </c>
      <c r="Q22" s="319">
        <f t="shared" si="7"/>
        <v>1.4213996298388232</v>
      </c>
      <c r="R22" s="318">
        <f t="shared" si="8"/>
        <v>1.1764500710123127</v>
      </c>
      <c r="S22" s="317">
        <f t="shared" si="9"/>
        <v>19.694301696149633</v>
      </c>
      <c r="T22" s="319">
        <f t="shared" si="10"/>
        <v>19.729408355765436</v>
      </c>
      <c r="U22" s="320">
        <f t="shared" si="17"/>
        <v>12.301901913540393</v>
      </c>
      <c r="V22" s="317">
        <f t="shared" si="11"/>
        <v>-19.609544684418356</v>
      </c>
      <c r="W22" s="317">
        <f t="shared" si="12"/>
        <v>14.897222365055564</v>
      </c>
      <c r="X22" s="321">
        <f t="shared" si="13"/>
        <v>24.626438575728159</v>
      </c>
      <c r="Y22" s="321">
        <f t="shared" si="14"/>
        <v>42.654242822635304</v>
      </c>
      <c r="AD22" s="306"/>
      <c r="AE22" s="306"/>
    </row>
    <row r="23" spans="1:31" ht="15.75">
      <c r="A23" s="297" t="s">
        <v>155</v>
      </c>
      <c r="B23" s="55">
        <f>RESUM!G30</f>
        <v>0.75555984272185484</v>
      </c>
      <c r="C23" s="55"/>
      <c r="E23" s="312">
        <f t="shared" si="0"/>
        <v>0.73021031699164307</v>
      </c>
      <c r="F23" s="313">
        <f t="shared" si="15"/>
        <v>37.2194</v>
      </c>
      <c r="G23" s="314">
        <f t="shared" si="1"/>
        <v>0.11520806383816348</v>
      </c>
      <c r="H23" s="315">
        <f>H22+10</f>
        <v>76.900000000000006</v>
      </c>
      <c r="I23" s="316">
        <f>I22</f>
        <v>667.48799900000006</v>
      </c>
      <c r="J23" s="317">
        <f t="shared" si="2"/>
        <v>8.5903840167296881</v>
      </c>
      <c r="K23" s="316">
        <f t="shared" si="3"/>
        <v>122.89677849205562</v>
      </c>
      <c r="L23" s="315">
        <v>13.6</v>
      </c>
      <c r="M23" s="316">
        <f t="shared" si="4"/>
        <v>265.26503473979358</v>
      </c>
      <c r="N23" s="316">
        <f t="shared" si="5"/>
        <v>265.61343839403889</v>
      </c>
      <c r="O23" s="318">
        <f t="shared" si="20"/>
        <v>8.2927723708299428E-2</v>
      </c>
      <c r="P23" s="317">
        <f t="shared" si="20"/>
        <v>1.6174871698804449</v>
      </c>
      <c r="Q23" s="319">
        <f t="shared" si="7"/>
        <v>1.6196116053200196</v>
      </c>
      <c r="R23" s="318">
        <f t="shared" si="8"/>
        <v>1.1667327805690251</v>
      </c>
      <c r="S23" s="317">
        <f t="shared" si="9"/>
        <v>22.756868497771947</v>
      </c>
      <c r="T23" s="319">
        <f t="shared" si="10"/>
        <v>22.786757759851213</v>
      </c>
      <c r="U23" s="320">
        <f t="shared" si="17"/>
        <v>12.200290160654149</v>
      </c>
      <c r="V23" s="317">
        <f t="shared" si="11"/>
        <v>-22.673940774063649</v>
      </c>
      <c r="W23" s="317">
        <f t="shared" si="12"/>
        <v>14.984510111103619</v>
      </c>
      <c r="X23" s="321">
        <f t="shared" si="13"/>
        <v>27.177989872238761</v>
      </c>
      <c r="Y23" s="321">
        <f t="shared" si="14"/>
        <v>47.073659306309914</v>
      </c>
      <c r="AD23" s="306"/>
      <c r="AE23" s="306"/>
    </row>
    <row r="24" spans="1:31" ht="15.75">
      <c r="A24" s="297" t="s">
        <v>156</v>
      </c>
      <c r="B24" s="339">
        <f>RESUM!G31</f>
        <v>34.507462584195288</v>
      </c>
      <c r="C24" s="55"/>
      <c r="E24" s="312"/>
      <c r="F24" s="313"/>
      <c r="G24" s="314"/>
      <c r="H24" s="317"/>
      <c r="I24" s="316"/>
      <c r="J24" s="317"/>
      <c r="K24" s="316"/>
      <c r="L24" s="340"/>
      <c r="M24" s="316"/>
      <c r="N24" s="316"/>
      <c r="O24" s="318">
        <f t="shared" si="20"/>
        <v>0</v>
      </c>
      <c r="P24" s="317"/>
      <c r="Q24" s="319"/>
      <c r="R24" s="318"/>
      <c r="S24" s="317"/>
      <c r="T24" s="319"/>
      <c r="U24" s="320"/>
      <c r="V24" s="317"/>
      <c r="W24" s="317"/>
      <c r="X24" s="321"/>
      <c r="Y24" s="321"/>
      <c r="Z24" s="462" t="s">
        <v>227</v>
      </c>
      <c r="AA24" s="462"/>
      <c r="AD24" s="306"/>
      <c r="AE24" s="306"/>
    </row>
    <row r="25" spans="1:31" ht="16.5" thickBot="1">
      <c r="A25" s="297" t="s">
        <v>157</v>
      </c>
      <c r="B25" s="58">
        <f>RESUM!G32</f>
        <v>253.86340501447495</v>
      </c>
      <c r="C25" s="58"/>
      <c r="E25" s="341" t="s">
        <v>213</v>
      </c>
      <c r="F25" s="326"/>
      <c r="G25" s="314"/>
      <c r="H25" s="317"/>
      <c r="I25" s="316"/>
      <c r="J25" s="317"/>
      <c r="K25" s="316"/>
      <c r="L25" s="316"/>
      <c r="M25" s="316"/>
      <c r="N25" s="316"/>
      <c r="O25" s="318"/>
      <c r="P25" s="317"/>
      <c r="Q25" s="319"/>
      <c r="R25" s="318"/>
      <c r="S25" s="317"/>
      <c r="T25" s="319"/>
      <c r="U25" s="320"/>
      <c r="V25" s="317"/>
      <c r="W25" s="317"/>
      <c r="X25" s="321"/>
      <c r="Y25" s="321"/>
      <c r="Z25" s="304">
        <v>0.877</v>
      </c>
      <c r="AA25" s="304"/>
      <c r="AD25" s="306"/>
      <c r="AE25" s="306"/>
    </row>
    <row r="26" spans="1:31">
      <c r="A26" s="297" t="s">
        <v>214</v>
      </c>
      <c r="B26" s="342">
        <f>(B8^2-B25^2)^0.5</f>
        <v>735.06860191543751</v>
      </c>
      <c r="C26" s="342"/>
      <c r="E26" s="307" t="s">
        <v>187</v>
      </c>
      <c r="F26" s="300" t="s">
        <v>188</v>
      </c>
      <c r="G26" s="300" t="s">
        <v>189</v>
      </c>
      <c r="H26" s="300" t="s">
        <v>158</v>
      </c>
      <c r="I26" s="300" t="s">
        <v>82</v>
      </c>
      <c r="J26" s="300" t="s">
        <v>190</v>
      </c>
      <c r="K26" s="300" t="s">
        <v>191</v>
      </c>
      <c r="L26" s="300" t="s">
        <v>192</v>
      </c>
      <c r="M26" s="300" t="s">
        <v>193</v>
      </c>
      <c r="N26" s="300" t="s">
        <v>194</v>
      </c>
      <c r="O26" s="308" t="s">
        <v>195</v>
      </c>
      <c r="P26" s="309" t="s">
        <v>196</v>
      </c>
      <c r="Q26" s="310" t="s">
        <v>197</v>
      </c>
      <c r="R26" s="308" t="s">
        <v>198</v>
      </c>
      <c r="S26" s="309" t="s">
        <v>199</v>
      </c>
      <c r="T26" s="310" t="s">
        <v>200</v>
      </c>
      <c r="U26" s="311" t="s">
        <v>160</v>
      </c>
      <c r="V26" s="300" t="s">
        <v>201</v>
      </c>
      <c r="W26" s="300" t="s">
        <v>202</v>
      </c>
      <c r="X26" s="300" t="s">
        <v>203</v>
      </c>
      <c r="Y26" s="300" t="s">
        <v>204</v>
      </c>
      <c r="Z26" s="462" t="s">
        <v>228</v>
      </c>
      <c r="AA26" s="467"/>
      <c r="AD26" s="306"/>
      <c r="AE26" s="306"/>
    </row>
    <row r="27" spans="1:31">
      <c r="A27" s="297" t="s">
        <v>158</v>
      </c>
      <c r="B27" s="297">
        <f>B9*120/B3-B5</f>
        <v>12.511999999999944</v>
      </c>
      <c r="E27" s="312">
        <f t="shared" ref="E27:E56" si="21">X27/F27</f>
        <v>7.9823972646138479</v>
      </c>
      <c r="F27" s="313">
        <f>F18</f>
        <v>34.7194</v>
      </c>
      <c r="G27" s="314">
        <f t="shared" ref="G27:G56" si="22">H27/I27</f>
        <v>4.0300349968838384E-2</v>
      </c>
      <c r="H27" s="317">
        <f>H18</f>
        <v>26.9</v>
      </c>
      <c r="I27" s="316">
        <f>F27*120/$B$3-H27</f>
        <v>667.48800000000006</v>
      </c>
      <c r="J27" s="317">
        <f t="shared" ref="J27:J56" si="23">3*(1-G27)/G27*$B$17/1000*M27^2/1000</f>
        <v>1009.6570292576163</v>
      </c>
      <c r="K27" s="316">
        <f t="shared" ref="K27:K56" si="24">J27/I27*1000*30/PI()</f>
        <v>14444.476038565008</v>
      </c>
      <c r="L27" s="340">
        <f>L18</f>
        <v>256.60000000000002</v>
      </c>
      <c r="M27" s="316">
        <f t="shared" ref="M27:M56" si="25">U27/$B$17*1000*G27</f>
        <v>1633.1517293513064</v>
      </c>
      <c r="N27" s="316">
        <f t="shared" ref="N27:N56" si="26">(L27^2+M27^2)^0.5</f>
        <v>1653.1872643724191</v>
      </c>
      <c r="O27" s="318">
        <f t="shared" ref="O27:P48" si="27">$B$16*L27/1000</f>
        <v>1.564651022319826</v>
      </c>
      <c r="P27" s="300">
        <f t="shared" si="27"/>
        <v>9.9583496606894517</v>
      </c>
      <c r="Q27" s="319">
        <f t="shared" ref="Q27:Q56" si="28">N27*$B$16/1000</f>
        <v>10.080518874849657</v>
      </c>
      <c r="R27" s="318">
        <f t="shared" ref="R27:R56" si="29">2*PI()*F27*$B$19*L27/1000</f>
        <v>20.534871392364476</v>
      </c>
      <c r="S27" s="317">
        <f t="shared" ref="S27:S56" si="30">2*PI()*F27*$B$19*M27/1000</f>
        <v>130.69587188794509</v>
      </c>
      <c r="T27" s="319">
        <f>2*PI()*F27*$B$19*N27/1000</f>
        <v>132.29925121349365</v>
      </c>
      <c r="U27" s="320">
        <f>$B$21*2*PI()*F27*L27/1000</f>
        <v>214.72902242137783</v>
      </c>
      <c r="V27" s="317">
        <f t="shared" ref="V27:V56" si="31">O27-S27</f>
        <v>-129.13122086562527</v>
      </c>
      <c r="W27" s="317">
        <f t="shared" ref="W27:W56" si="32">P27+R27+U27</f>
        <v>245.22224347443176</v>
      </c>
      <c r="X27" s="321">
        <f t="shared" ref="X27:X56" si="33">(W27^2+V27^2)^0.5</f>
        <v>277.14404358903403</v>
      </c>
      <c r="Y27" s="321">
        <f t="shared" ref="Y27:Y56" si="34">X27*3^0.5</f>
        <v>480.02756451129051</v>
      </c>
      <c r="Z27" s="463">
        <f>J27</f>
        <v>1009.6570292576163</v>
      </c>
      <c r="AA27" s="323"/>
      <c r="AD27" s="306"/>
      <c r="AE27" s="306"/>
    </row>
    <row r="28" spans="1:31">
      <c r="A28" s="297" t="s">
        <v>215</v>
      </c>
      <c r="B28" s="297">
        <f>B27/120*B3</f>
        <v>0.62559999999999727</v>
      </c>
      <c r="E28" s="312">
        <f t="shared" si="21"/>
        <v>7.4776458494683107</v>
      </c>
      <c r="F28" s="313">
        <f>F27+($F$49-$F$27)/22</f>
        <v>37.01397272727273</v>
      </c>
      <c r="G28" s="314">
        <f t="shared" si="22"/>
        <v>3.7875152515788796E-2</v>
      </c>
      <c r="H28" s="313">
        <f>H27+($H$49-$H$27)/22</f>
        <v>27.014999999999997</v>
      </c>
      <c r="I28" s="316">
        <f t="shared" ref="I28:I56" si="35">F28*120/$B$3-H28</f>
        <v>713.26445454545456</v>
      </c>
      <c r="J28" s="317">
        <f t="shared" si="23"/>
        <v>951.29571437801133</v>
      </c>
      <c r="K28" s="316">
        <f t="shared" si="24"/>
        <v>12736.096491606208</v>
      </c>
      <c r="L28" s="340">
        <f t="shared" ref="L28:L56" si="36">L27*F27/F28</f>
        <v>240.69283526098374</v>
      </c>
      <c r="M28" s="316">
        <f t="shared" si="25"/>
        <v>1534.8718033077635</v>
      </c>
      <c r="N28" s="316">
        <f t="shared" si="26"/>
        <v>1553.6294582477497</v>
      </c>
      <c r="O28" s="318">
        <f t="shared" si="27"/>
        <v>1.4676550691978008</v>
      </c>
      <c r="P28" s="317">
        <f t="shared" si="27"/>
        <v>9.3590753553209947</v>
      </c>
      <c r="Q28" s="319">
        <f t="shared" si="28"/>
        <v>9.4734525337238473</v>
      </c>
      <c r="R28" s="318">
        <f t="shared" si="29"/>
        <v>20.534871392364472</v>
      </c>
      <c r="S28" s="317">
        <f t="shared" si="30"/>
        <v>130.94862192518525</v>
      </c>
      <c r="T28" s="319">
        <f t="shared" ref="T28:T56" si="37">2*PI()*F28*$B$19*N28/1000</f>
        <v>132.54894389321271</v>
      </c>
      <c r="U28" s="320">
        <f t="shared" ref="U28:U56" si="38">$B$21*2*PI()*F28*L28/1000</f>
        <v>214.72902242137781</v>
      </c>
      <c r="V28" s="317">
        <f t="shared" si="31"/>
        <v>-129.48096685598745</v>
      </c>
      <c r="W28" s="317">
        <f t="shared" si="32"/>
        <v>244.62296916906328</v>
      </c>
      <c r="X28" s="321">
        <f t="shared" si="33"/>
        <v>276.77737953642418</v>
      </c>
      <c r="Y28" s="321">
        <f t="shared" si="34"/>
        <v>479.39248374286115</v>
      </c>
      <c r="Z28" s="463">
        <f>Z27*(I27/I28)^Z$25</f>
        <v>952.59879920119363</v>
      </c>
      <c r="AD28" s="306"/>
      <c r="AE28" s="306"/>
    </row>
    <row r="29" spans="1:31">
      <c r="E29" s="312">
        <f t="shared" si="21"/>
        <v>7.0337542993925695</v>
      </c>
      <c r="F29" s="313">
        <f t="shared" ref="F29:F48" si="39">F28+($F$49-$F$27)/22</f>
        <v>39.30854545454546</v>
      </c>
      <c r="G29" s="314">
        <f t="shared" si="22"/>
        <v>3.5742474055177269E-2</v>
      </c>
      <c r="H29" s="313">
        <f t="shared" ref="H29:H48" si="40">H28+($H$49-$H$27)/22</f>
        <v>27.129999999999995</v>
      </c>
      <c r="I29" s="316">
        <f t="shared" si="35"/>
        <v>759.04090909090928</v>
      </c>
      <c r="J29" s="317">
        <f t="shared" si="23"/>
        <v>899.71998422971399</v>
      </c>
      <c r="K29" s="316">
        <f t="shared" si="24"/>
        <v>11319.143501255281</v>
      </c>
      <c r="L29" s="340">
        <f t="shared" si="36"/>
        <v>226.64278051961867</v>
      </c>
      <c r="M29" s="316">
        <f t="shared" si="25"/>
        <v>1448.4460646034802</v>
      </c>
      <c r="N29" s="316">
        <f t="shared" si="26"/>
        <v>1466.0705822118432</v>
      </c>
      <c r="O29" s="318">
        <f t="shared" si="27"/>
        <v>1.3819830796626238</v>
      </c>
      <c r="P29" s="317">
        <f t="shared" si="27"/>
        <v>8.8320834596919866</v>
      </c>
      <c r="Q29" s="319">
        <f t="shared" si="28"/>
        <v>8.9395511895977506</v>
      </c>
      <c r="R29" s="318">
        <f t="shared" si="29"/>
        <v>20.534871392364476</v>
      </c>
      <c r="S29" s="317">
        <f t="shared" si="30"/>
        <v>131.23583106073937</v>
      </c>
      <c r="T29" s="319">
        <f t="shared" si="37"/>
        <v>132.83269287831166</v>
      </c>
      <c r="U29" s="320">
        <f t="shared" si="38"/>
        <v>214.72902242137781</v>
      </c>
      <c r="V29" s="317">
        <f t="shared" si="31"/>
        <v>-129.85384798107674</v>
      </c>
      <c r="W29" s="317">
        <f t="shared" si="32"/>
        <v>244.09597727343427</v>
      </c>
      <c r="X29" s="321">
        <f t="shared" si="33"/>
        <v>276.48665059377737</v>
      </c>
      <c r="Y29" s="321">
        <f t="shared" si="34"/>
        <v>478.88892644296607</v>
      </c>
      <c r="Z29" s="463">
        <f t="shared" ref="Z29:Z56" si="41">Z28*(I28/I29)^Z$25</f>
        <v>902.02427252618691</v>
      </c>
      <c r="AD29" s="306"/>
      <c r="AE29" s="306"/>
    </row>
    <row r="30" spans="1:31">
      <c r="E30" s="312">
        <f t="shared" si="21"/>
        <v>6.640343867361457</v>
      </c>
      <c r="F30" s="313">
        <f t="shared" si="39"/>
        <v>41.603118181818189</v>
      </c>
      <c r="G30" s="314">
        <f t="shared" si="22"/>
        <v>3.3852400843963341E-2</v>
      </c>
      <c r="H30" s="313">
        <f t="shared" si="40"/>
        <v>27.244999999999994</v>
      </c>
      <c r="I30" s="316">
        <f t="shared" si="35"/>
        <v>804.81736363636378</v>
      </c>
      <c r="J30" s="317">
        <f t="shared" si="23"/>
        <v>853.81282280116091</v>
      </c>
      <c r="K30" s="316">
        <f t="shared" si="24"/>
        <v>10130.636144086504</v>
      </c>
      <c r="L30" s="340">
        <f t="shared" si="36"/>
        <v>214.14255539849174</v>
      </c>
      <c r="M30" s="316">
        <f t="shared" si="25"/>
        <v>1371.8517835145715</v>
      </c>
      <c r="N30" s="316">
        <f t="shared" si="26"/>
        <v>1388.4647456686491</v>
      </c>
      <c r="O30" s="318">
        <f t="shared" si="27"/>
        <v>1.3057613726673034</v>
      </c>
      <c r="P30" s="317">
        <f t="shared" si="27"/>
        <v>8.3650401229436895</v>
      </c>
      <c r="Q30" s="319">
        <f t="shared" si="28"/>
        <v>8.4663397652591161</v>
      </c>
      <c r="R30" s="318">
        <f t="shared" si="29"/>
        <v>20.534871392364476</v>
      </c>
      <c r="S30" s="317">
        <f t="shared" si="30"/>
        <v>131.55161939407756</v>
      </c>
      <c r="T30" s="319">
        <f t="shared" si="37"/>
        <v>133.14469387964809</v>
      </c>
      <c r="U30" s="320">
        <f t="shared" si="38"/>
        <v>214.72902242137781</v>
      </c>
      <c r="V30" s="317">
        <f t="shared" si="31"/>
        <v>-130.24585802141027</v>
      </c>
      <c r="W30" s="317">
        <f t="shared" si="32"/>
        <v>243.62893393668597</v>
      </c>
      <c r="X30" s="321">
        <f t="shared" si="33"/>
        <v>276.25901068175034</v>
      </c>
      <c r="Y30" s="321">
        <f t="shared" si="34"/>
        <v>478.49464254950476</v>
      </c>
      <c r="Z30" s="463">
        <f t="shared" si="41"/>
        <v>856.86859275342749</v>
      </c>
      <c r="AD30" s="306"/>
      <c r="AE30" s="306"/>
    </row>
    <row r="31" spans="1:31">
      <c r="E31" s="312">
        <f t="shared" si="21"/>
        <v>6.2892689509816329</v>
      </c>
      <c r="F31" s="313">
        <f t="shared" si="39"/>
        <v>43.897690909090919</v>
      </c>
      <c r="G31" s="314">
        <f t="shared" si="22"/>
        <v>3.2165763981782974E-2</v>
      </c>
      <c r="H31" s="313">
        <f t="shared" si="40"/>
        <v>27.359999999999992</v>
      </c>
      <c r="I31" s="316">
        <f t="shared" si="35"/>
        <v>850.59381818181839</v>
      </c>
      <c r="J31" s="317">
        <f t="shared" si="23"/>
        <v>812.68935436741026</v>
      </c>
      <c r="K31" s="316">
        <f t="shared" si="24"/>
        <v>9123.7574396351811</v>
      </c>
      <c r="L31" s="340">
        <f t="shared" si="36"/>
        <v>202.94912683334346</v>
      </c>
      <c r="M31" s="316">
        <f t="shared" si="25"/>
        <v>1303.5016597467277</v>
      </c>
      <c r="N31" s="316">
        <f t="shared" si="26"/>
        <v>1319.2061723039694</v>
      </c>
      <c r="O31" s="318">
        <f t="shared" si="27"/>
        <v>1.2375080232997149</v>
      </c>
      <c r="P31" s="317">
        <f t="shared" si="27"/>
        <v>7.9482665803519383</v>
      </c>
      <c r="Q31" s="319">
        <f t="shared" si="28"/>
        <v>8.0440268361107954</v>
      </c>
      <c r="R31" s="318">
        <f t="shared" si="29"/>
        <v>20.534871392364476</v>
      </c>
      <c r="S31" s="317">
        <f t="shared" si="30"/>
        <v>131.89137278039757</v>
      </c>
      <c r="T31" s="319">
        <f t="shared" si="37"/>
        <v>133.48039240652071</v>
      </c>
      <c r="U31" s="320">
        <f t="shared" si="38"/>
        <v>214.72902242137781</v>
      </c>
      <c r="V31" s="317">
        <f t="shared" si="31"/>
        <v>-130.65386475709786</v>
      </c>
      <c r="W31" s="317">
        <f t="shared" si="32"/>
        <v>243.21216039409421</v>
      </c>
      <c r="X31" s="321">
        <f t="shared" si="33"/>
        <v>276.08438445433421</v>
      </c>
      <c r="Y31" s="321">
        <f t="shared" si="34"/>
        <v>478.19218105128596</v>
      </c>
      <c r="Z31" s="463">
        <f t="shared" si="41"/>
        <v>816.28985861861838</v>
      </c>
      <c r="AD31" s="306"/>
      <c r="AE31" s="306"/>
    </row>
    <row r="32" spans="1:31">
      <c r="E32" s="312">
        <f t="shared" si="21"/>
        <v>5.9740470959281087</v>
      </c>
      <c r="F32" s="313">
        <f t="shared" si="39"/>
        <v>46.192263636363649</v>
      </c>
      <c r="G32" s="314">
        <f t="shared" si="22"/>
        <v>3.0651395785812118E-2</v>
      </c>
      <c r="H32" s="313">
        <f t="shared" si="40"/>
        <v>27.474999999999991</v>
      </c>
      <c r="I32" s="316">
        <f t="shared" si="35"/>
        <v>896.37027272727289</v>
      </c>
      <c r="J32" s="317">
        <f t="shared" si="23"/>
        <v>775.63958341203534</v>
      </c>
      <c r="K32" s="316">
        <f t="shared" si="24"/>
        <v>8263.1169850491115</v>
      </c>
      <c r="L32" s="340">
        <f t="shared" si="36"/>
        <v>192.86775184116817</v>
      </c>
      <c r="M32" s="316">
        <f t="shared" si="25"/>
        <v>1242.1326383849585</v>
      </c>
      <c r="N32" s="316">
        <f t="shared" si="26"/>
        <v>1257.0168897200406</v>
      </c>
      <c r="O32" s="318">
        <f t="shared" si="27"/>
        <v>1.1760355615386215</v>
      </c>
      <c r="P32" s="317">
        <f t="shared" si="27"/>
        <v>7.5740611944888849</v>
      </c>
      <c r="Q32" s="319">
        <f t="shared" si="28"/>
        <v>7.6648198034830459</v>
      </c>
      <c r="R32" s="318">
        <f t="shared" si="29"/>
        <v>20.534871392364472</v>
      </c>
      <c r="S32" s="317">
        <f t="shared" si="30"/>
        <v>132.25141962819799</v>
      </c>
      <c r="T32" s="319">
        <f t="shared" si="37"/>
        <v>133.83616453251588</v>
      </c>
      <c r="U32" s="320">
        <f t="shared" si="38"/>
        <v>214.72902242137781</v>
      </c>
      <c r="V32" s="317">
        <f t="shared" si="31"/>
        <v>-131.07538406665938</v>
      </c>
      <c r="W32" s="317">
        <f t="shared" si="32"/>
        <v>242.83795500823118</v>
      </c>
      <c r="X32" s="321">
        <f t="shared" si="33"/>
        <v>275.95475843116384</v>
      </c>
      <c r="Y32" s="321">
        <f t="shared" si="34"/>
        <v>477.96766219317175</v>
      </c>
      <c r="Z32" s="463">
        <f t="shared" si="41"/>
        <v>779.61340931443635</v>
      </c>
      <c r="AD32" s="306"/>
      <c r="AE32" s="306"/>
    </row>
    <row r="33" spans="5:31">
      <c r="E33" s="312">
        <f t="shared" si="21"/>
        <v>5.6894551148531827</v>
      </c>
      <c r="F33" s="313">
        <f t="shared" si="39"/>
        <v>48.486836363636378</v>
      </c>
      <c r="G33" s="314">
        <f t="shared" si="22"/>
        <v>2.9284185999208366E-2</v>
      </c>
      <c r="H33" s="313">
        <f t="shared" si="40"/>
        <v>27.589999999999989</v>
      </c>
      <c r="I33" s="316">
        <f t="shared" si="35"/>
        <v>942.1467272727275</v>
      </c>
      <c r="J33" s="317">
        <f t="shared" si="23"/>
        <v>742.08726825955739</v>
      </c>
      <c r="K33" s="316">
        <f t="shared" si="24"/>
        <v>7521.558173276826</v>
      </c>
      <c r="L33" s="340">
        <f t="shared" si="36"/>
        <v>183.74055121240025</v>
      </c>
      <c r="M33" s="316">
        <f t="shared" si="25"/>
        <v>1186.7271387030828</v>
      </c>
      <c r="N33" s="316">
        <f t="shared" si="26"/>
        <v>1200.8671416498341</v>
      </c>
      <c r="O33" s="318">
        <f t="shared" si="27"/>
        <v>1.1203812988935713</v>
      </c>
      <c r="P33" s="317">
        <f t="shared" si="27"/>
        <v>7.2362191379051453</v>
      </c>
      <c r="Q33" s="319">
        <f t="shared" si="28"/>
        <v>7.3224395980229939</v>
      </c>
      <c r="R33" s="318">
        <f t="shared" si="29"/>
        <v>20.534871392364472</v>
      </c>
      <c r="S33" s="317">
        <f t="shared" si="30"/>
        <v>132.62880191823353</v>
      </c>
      <c r="T33" s="319">
        <f t="shared" si="37"/>
        <v>134.2090907553098</v>
      </c>
      <c r="U33" s="320">
        <f t="shared" si="38"/>
        <v>214.72902242137781</v>
      </c>
      <c r="V33" s="317">
        <f t="shared" si="31"/>
        <v>-131.50842061933997</v>
      </c>
      <c r="W33" s="317">
        <f t="shared" si="32"/>
        <v>242.50011295164742</v>
      </c>
      <c r="X33" s="321">
        <f t="shared" si="33"/>
        <v>275.86367915214026</v>
      </c>
      <c r="Y33" s="321">
        <f t="shared" si="34"/>
        <v>477.80990825438619</v>
      </c>
      <c r="Z33" s="463">
        <f t="shared" si="41"/>
        <v>746.29206980491244</v>
      </c>
      <c r="AD33" s="306"/>
      <c r="AE33" s="306"/>
    </row>
    <row r="34" spans="5:31">
      <c r="E34" s="312">
        <f t="shared" si="21"/>
        <v>5.4312374554543981</v>
      </c>
      <c r="F34" s="313">
        <f t="shared" si="39"/>
        <v>50.781409090909108</v>
      </c>
      <c r="G34" s="314">
        <f t="shared" si="22"/>
        <v>2.8043678405249562E-2</v>
      </c>
      <c r="H34" s="313">
        <f t="shared" si="40"/>
        <v>27.704999999999988</v>
      </c>
      <c r="I34" s="316">
        <f t="shared" si="35"/>
        <v>987.923181818182</v>
      </c>
      <c r="J34" s="317">
        <f>3*(1-G34)/G34*$B$17/1000*M34^2/1000</f>
        <v>711.55986832271333</v>
      </c>
      <c r="K34" s="316">
        <f>J34/I34*1000*30/PI()</f>
        <v>6877.9600944855811</v>
      </c>
      <c r="L34" s="340">
        <f>L33*F33/F34</f>
        <v>175.43818100933498</v>
      </c>
      <c r="M34" s="316">
        <f>U34/$B$17*1000*G34</f>
        <v>1136.4561826465283</v>
      </c>
      <c r="N34" s="316">
        <f>(L34^2+M34^2)^0.5</f>
        <v>1149.917914649295</v>
      </c>
      <c r="O34" s="318">
        <f>$B$16*L34/1000</f>
        <v>1.0697565443109378</v>
      </c>
      <c r="P34" s="317">
        <f>$B$16*M34/1000</f>
        <v>6.9296856118455858</v>
      </c>
      <c r="Q34" s="319">
        <f>N34*$B$16/1000</f>
        <v>7.0117702289162187</v>
      </c>
      <c r="R34" s="318">
        <f>2*PI()*F34*$B$19*L34/1000</f>
        <v>20.534871392364476</v>
      </c>
      <c r="S34" s="317">
        <f>2*PI()*F34*$B$19*M34/1000</f>
        <v>133.02110988292895</v>
      </c>
      <c r="T34" s="319">
        <f t="shared" si="37"/>
        <v>134.596792746288</v>
      </c>
      <c r="U34" s="320">
        <f>$B$21*2*PI()*F34*L34/1000</f>
        <v>214.72902242137783</v>
      </c>
      <c r="V34" s="317">
        <f>O34-S34</f>
        <v>-131.95135333861802</v>
      </c>
      <c r="W34" s="317">
        <f>P34+R34+U34</f>
        <v>242.1935794255879</v>
      </c>
      <c r="X34" s="321">
        <f>(W34^2+V34^2)^0.5</f>
        <v>275.80589109529802</v>
      </c>
      <c r="Y34" s="321">
        <f>X34*3^0.5</f>
        <v>477.70981640386475</v>
      </c>
      <c r="Z34" s="463">
        <f t="shared" si="41"/>
        <v>715.87725488246122</v>
      </c>
      <c r="AD34" s="306"/>
      <c r="AE34" s="306"/>
    </row>
    <row r="35" spans="5:31">
      <c r="E35" s="312">
        <f t="shared" si="21"/>
        <v>5.195892030938511</v>
      </c>
      <c r="F35" s="313">
        <f t="shared" si="39"/>
        <v>53.075981818181837</v>
      </c>
      <c r="G35" s="314">
        <f t="shared" si="22"/>
        <v>2.6913040327522585E-2</v>
      </c>
      <c r="H35" s="313">
        <f t="shared" si="40"/>
        <v>27.819999999999986</v>
      </c>
      <c r="I35" s="316">
        <f t="shared" si="35"/>
        <v>1033.6996363636367</v>
      </c>
      <c r="J35" s="317">
        <f t="shared" si="23"/>
        <v>683.66623897811644</v>
      </c>
      <c r="K35" s="316">
        <f t="shared" si="24"/>
        <v>6315.6950547751921</v>
      </c>
      <c r="L35" s="340">
        <f t="shared" si="36"/>
        <v>167.8536644035874</v>
      </c>
      <c r="M35" s="316">
        <f t="shared" si="25"/>
        <v>1090.6376343376917</v>
      </c>
      <c r="N35" s="316">
        <f t="shared" si="26"/>
        <v>1103.4787275192161</v>
      </c>
      <c r="O35" s="318">
        <f t="shared" si="27"/>
        <v>1.0235089930210521</v>
      </c>
      <c r="P35" s="317">
        <f t="shared" si="27"/>
        <v>6.650301206340397</v>
      </c>
      <c r="Q35" s="319">
        <f t="shared" si="28"/>
        <v>6.7286013995367195</v>
      </c>
      <c r="R35" s="318">
        <f t="shared" si="29"/>
        <v>20.534871392364476</v>
      </c>
      <c r="S35" s="317">
        <f t="shared" si="30"/>
        <v>133.4263606122291</v>
      </c>
      <c r="T35" s="319">
        <f t="shared" si="37"/>
        <v>134.99731348928964</v>
      </c>
      <c r="U35" s="320">
        <f t="shared" si="38"/>
        <v>214.72902242137783</v>
      </c>
      <c r="V35" s="317">
        <f t="shared" si="31"/>
        <v>-132.40285161920806</v>
      </c>
      <c r="W35" s="317">
        <f t="shared" si="32"/>
        <v>241.9141950200827</v>
      </c>
      <c r="X35" s="321">
        <f t="shared" si="33"/>
        <v>275.7770709633283</v>
      </c>
      <c r="Y35" s="321">
        <f t="shared" si="34"/>
        <v>477.65989847101235</v>
      </c>
      <c r="Z35" s="463">
        <f t="shared" si="41"/>
        <v>687.99761536665562</v>
      </c>
      <c r="AD35" s="306"/>
      <c r="AE35" s="306"/>
    </row>
    <row r="36" spans="5:31">
      <c r="E36" s="312">
        <f t="shared" si="21"/>
        <v>4.9805105249818107</v>
      </c>
      <c r="F36" s="313">
        <f t="shared" si="39"/>
        <v>55.370554545454567</v>
      </c>
      <c r="G36" s="314">
        <f t="shared" si="22"/>
        <v>2.5878294327458654E-2</v>
      </c>
      <c r="H36" s="313">
        <f t="shared" si="40"/>
        <v>27.934999999999985</v>
      </c>
      <c r="I36" s="316">
        <f t="shared" si="35"/>
        <v>1079.4760909090915</v>
      </c>
      <c r="J36" s="317">
        <f t="shared" si="23"/>
        <v>658.07984175709578</v>
      </c>
      <c r="K36" s="316">
        <f t="shared" si="24"/>
        <v>5821.5273490625841</v>
      </c>
      <c r="L36" s="340">
        <f t="shared" si="36"/>
        <v>160.89775717681249</v>
      </c>
      <c r="M36" s="316">
        <f t="shared" si="25"/>
        <v>1048.7050649989526</v>
      </c>
      <c r="N36" s="316">
        <f t="shared" si="26"/>
        <v>1060.9761550661665</v>
      </c>
      <c r="O36" s="318">
        <f t="shared" si="27"/>
        <v>0.98109446709145276</v>
      </c>
      <c r="P36" s="317">
        <f t="shared" si="27"/>
        <v>6.3946120501270096</v>
      </c>
      <c r="Q36" s="319">
        <f t="shared" si="28"/>
        <v>6.4694365770897724</v>
      </c>
      <c r="R36" s="318">
        <f t="shared" si="29"/>
        <v>20.534871392364472</v>
      </c>
      <c r="S36" s="317">
        <f t="shared" si="30"/>
        <v>133.84290754662052</v>
      </c>
      <c r="T36" s="319">
        <f t="shared" si="37"/>
        <v>135.40902792515041</v>
      </c>
      <c r="U36" s="320">
        <f t="shared" si="38"/>
        <v>214.72902242137781</v>
      </c>
      <c r="V36" s="317">
        <f t="shared" si="31"/>
        <v>-132.86181307952907</v>
      </c>
      <c r="W36" s="317">
        <f t="shared" si="32"/>
        <v>241.65850586386929</v>
      </c>
      <c r="X36" s="321">
        <f t="shared" si="33"/>
        <v>275.77362968771592</v>
      </c>
      <c r="Y36" s="321">
        <f t="shared" si="34"/>
        <v>477.65393800680886</v>
      </c>
      <c r="Z36" s="463">
        <f t="shared" si="41"/>
        <v>662.3430208186445</v>
      </c>
      <c r="AD36" s="306"/>
      <c r="AE36" s="306"/>
    </row>
    <row r="37" spans="5:31">
      <c r="E37" s="312">
        <f t="shared" si="21"/>
        <v>4.7826576629767015</v>
      </c>
      <c r="F37" s="313">
        <f t="shared" si="39"/>
        <v>57.665127272727297</v>
      </c>
      <c r="G37" s="314">
        <f t="shared" si="22"/>
        <v>2.492773743397237E-2</v>
      </c>
      <c r="H37" s="313">
        <f t="shared" si="40"/>
        <v>28.049999999999983</v>
      </c>
      <c r="I37" s="316">
        <f t="shared" si="35"/>
        <v>1125.252545454546</v>
      </c>
      <c r="J37" s="317">
        <f t="shared" si="23"/>
        <v>634.5259429615727</v>
      </c>
      <c r="K37" s="316">
        <f t="shared" si="24"/>
        <v>5384.8146756203732</v>
      </c>
      <c r="L37" s="340">
        <f t="shared" si="36"/>
        <v>154.49541969906494</v>
      </c>
      <c r="M37" s="316">
        <f t="shared" si="25"/>
        <v>1010.1842175213426</v>
      </c>
      <c r="N37" s="316">
        <f t="shared" si="26"/>
        <v>1021.9300308911552</v>
      </c>
      <c r="O37" s="318">
        <f t="shared" si="27"/>
        <v>0.94205540286778067</v>
      </c>
      <c r="P37" s="317">
        <f t="shared" si="27"/>
        <v>6.159726300374599</v>
      </c>
      <c r="Q37" s="319">
        <f t="shared" si="28"/>
        <v>6.2313478860996776</v>
      </c>
      <c r="R37" s="318">
        <f t="shared" si="29"/>
        <v>20.534871392364469</v>
      </c>
      <c r="S37" s="317">
        <f t="shared" si="30"/>
        <v>134.2693720616667</v>
      </c>
      <c r="T37" s="319">
        <f t="shared" si="37"/>
        <v>135.83057541266339</v>
      </c>
      <c r="U37" s="320">
        <f t="shared" si="38"/>
        <v>214.72902242137781</v>
      </c>
      <c r="V37" s="317">
        <f t="shared" si="31"/>
        <v>-133.32731665879891</v>
      </c>
      <c r="W37" s="317">
        <f t="shared" si="32"/>
        <v>241.42362011411689</v>
      </c>
      <c r="X37" s="321">
        <f t="shared" si="33"/>
        <v>275.79256283743598</v>
      </c>
      <c r="Y37" s="321">
        <f t="shared" si="34"/>
        <v>477.68673118407128</v>
      </c>
      <c r="Z37" s="463">
        <f t="shared" si="41"/>
        <v>638.65238182811288</v>
      </c>
      <c r="AD37" s="304"/>
      <c r="AE37" s="304"/>
    </row>
    <row r="38" spans="5:31">
      <c r="E38" s="312">
        <f t="shared" si="21"/>
        <v>4.6002787900444719</v>
      </c>
      <c r="F38" s="313">
        <f t="shared" si="39"/>
        <v>59.959700000000026</v>
      </c>
      <c r="G38" s="314">
        <f t="shared" si="22"/>
        <v>2.4051496589751378E-2</v>
      </c>
      <c r="H38" s="313">
        <f t="shared" si="40"/>
        <v>28.164999999999981</v>
      </c>
      <c r="I38" s="316">
        <f t="shared" si="35"/>
        <v>1171.0290000000007</v>
      </c>
      <c r="J38" s="317">
        <f t="shared" si="23"/>
        <v>612.77173818423842</v>
      </c>
      <c r="K38" s="316">
        <f t="shared" si="24"/>
        <v>4996.920714296617</v>
      </c>
      <c r="L38" s="340">
        <f t="shared" si="36"/>
        <v>148.58309898148249</v>
      </c>
      <c r="M38" s="316">
        <f t="shared" si="25"/>
        <v>974.6749911455347</v>
      </c>
      <c r="N38" s="316">
        <f t="shared" si="26"/>
        <v>985.93522894127739</v>
      </c>
      <c r="O38" s="318">
        <f t="shared" si="27"/>
        <v>0.90600427794553573</v>
      </c>
      <c r="P38" s="317">
        <f t="shared" si="27"/>
        <v>5.9432042919930952</v>
      </c>
      <c r="Q38" s="319">
        <f t="shared" si="28"/>
        <v>6.0118650191118519</v>
      </c>
      <c r="R38" s="318">
        <f t="shared" si="29"/>
        <v>20.534871392364472</v>
      </c>
      <c r="S38" s="317">
        <f t="shared" si="30"/>
        <v>134.7045910990316</v>
      </c>
      <c r="T38" s="319">
        <f t="shared" si="37"/>
        <v>136.26080803465922</v>
      </c>
      <c r="U38" s="320">
        <f t="shared" si="38"/>
        <v>214.72902242137781</v>
      </c>
      <c r="V38" s="317">
        <f t="shared" si="31"/>
        <v>-133.79858682108608</v>
      </c>
      <c r="W38" s="317">
        <f t="shared" si="32"/>
        <v>241.20709810573538</v>
      </c>
      <c r="X38" s="321">
        <f t="shared" si="33"/>
        <v>275.83133616742964</v>
      </c>
      <c r="Y38" s="321">
        <f t="shared" si="34"/>
        <v>477.75388856159896</v>
      </c>
      <c r="Z38" s="463">
        <f t="shared" si="41"/>
        <v>616.70427705364659</v>
      </c>
      <c r="AD38" s="304"/>
      <c r="AE38" s="304"/>
    </row>
    <row r="39" spans="5:31">
      <c r="E39" s="312">
        <f t="shared" si="21"/>
        <v>4.4316283036252804</v>
      </c>
      <c r="F39" s="313">
        <f t="shared" si="39"/>
        <v>62.254272727272756</v>
      </c>
      <c r="G39" s="314">
        <f t="shared" si="22"/>
        <v>2.3241184442721077E-2</v>
      </c>
      <c r="H39" s="313">
        <f t="shared" si="40"/>
        <v>28.27999999999998</v>
      </c>
      <c r="I39" s="316">
        <f t="shared" si="35"/>
        <v>1216.8054545454552</v>
      </c>
      <c r="J39" s="317">
        <f t="shared" si="23"/>
        <v>592.6186516328778</v>
      </c>
      <c r="K39" s="316">
        <f t="shared" si="24"/>
        <v>4650.7773657733742</v>
      </c>
      <c r="L39" s="340">
        <f t="shared" si="36"/>
        <v>143.10661179882499</v>
      </c>
      <c r="M39" s="316">
        <f t="shared" si="25"/>
        <v>941.83749258137379</v>
      </c>
      <c r="N39" s="316">
        <f t="shared" si="26"/>
        <v>952.64755538053475</v>
      </c>
      <c r="O39" s="318">
        <f t="shared" si="27"/>
        <v>0.87261070324145751</v>
      </c>
      <c r="P39" s="317">
        <f t="shared" si="27"/>
        <v>5.7429734825665939</v>
      </c>
      <c r="Q39" s="319">
        <f t="shared" si="28"/>
        <v>5.8088892105870489</v>
      </c>
      <c r="R39" s="318">
        <f t="shared" si="29"/>
        <v>20.534871392364472</v>
      </c>
      <c r="S39" s="317">
        <f t="shared" si="30"/>
        <v>135.14757661828969</v>
      </c>
      <c r="T39" s="319">
        <f t="shared" si="37"/>
        <v>136.69875057548052</v>
      </c>
      <c r="U39" s="320">
        <f t="shared" si="38"/>
        <v>214.72902242137778</v>
      </c>
      <c r="V39" s="317">
        <f t="shared" si="31"/>
        <v>-134.27496591504823</v>
      </c>
      <c r="W39" s="317">
        <f t="shared" si="32"/>
        <v>241.00686729630885</v>
      </c>
      <c r="X39" s="321">
        <f t="shared" si="33"/>
        <v>275.88779703978935</v>
      </c>
      <c r="Y39" s="321">
        <f t="shared" si="34"/>
        <v>477.85168166116563</v>
      </c>
      <c r="Z39" s="463">
        <f t="shared" si="41"/>
        <v>596.309657608002</v>
      </c>
      <c r="AD39" s="304"/>
      <c r="AE39" s="304"/>
    </row>
    <row r="40" spans="5:31">
      <c r="E40" s="312">
        <f t="shared" si="21"/>
        <v>4.275213649428534</v>
      </c>
      <c r="F40" s="313">
        <f t="shared" si="39"/>
        <v>64.548845454545486</v>
      </c>
      <c r="G40" s="314">
        <f t="shared" si="22"/>
        <v>2.2489630015723166E-2</v>
      </c>
      <c r="H40" s="313">
        <f t="shared" si="40"/>
        <v>28.394999999999978</v>
      </c>
      <c r="I40" s="316">
        <f t="shared" si="35"/>
        <v>1262.5819090909097</v>
      </c>
      <c r="J40" s="317">
        <f t="shared" si="23"/>
        <v>573.89627158897486</v>
      </c>
      <c r="K40" s="316">
        <f t="shared" si="24"/>
        <v>4340.5545947269338</v>
      </c>
      <c r="L40" s="340">
        <f t="shared" si="36"/>
        <v>138.01947931467819</v>
      </c>
      <c r="M40" s="316">
        <f t="shared" si="25"/>
        <v>911.3811215299479</v>
      </c>
      <c r="N40" s="316">
        <f t="shared" si="26"/>
        <v>921.77270807476214</v>
      </c>
      <c r="O40" s="318">
        <f t="shared" si="27"/>
        <v>0.84159126815963103</v>
      </c>
      <c r="P40" s="317">
        <f t="shared" si="27"/>
        <v>5.5572618999408512</v>
      </c>
      <c r="Q40" s="319">
        <f t="shared" si="28"/>
        <v>5.6206259159613836</v>
      </c>
      <c r="R40" s="318">
        <f t="shared" si="29"/>
        <v>20.534871392364476</v>
      </c>
      <c r="S40" s="317">
        <f t="shared" si="30"/>
        <v>135.59748386948198</v>
      </c>
      <c r="T40" s="319">
        <f t="shared" si="37"/>
        <v>137.14356920700067</v>
      </c>
      <c r="U40" s="320">
        <f t="shared" si="38"/>
        <v>214.72902242137781</v>
      </c>
      <c r="V40" s="317">
        <f t="shared" si="31"/>
        <v>-134.75589260132236</v>
      </c>
      <c r="W40" s="317">
        <f t="shared" si="32"/>
        <v>240.82115571368314</v>
      </c>
      <c r="X40" s="321">
        <f t="shared" si="33"/>
        <v>275.96010514212583</v>
      </c>
      <c r="Y40" s="321">
        <f t="shared" si="34"/>
        <v>477.97692296821128</v>
      </c>
      <c r="Z40" s="463">
        <f t="shared" si="41"/>
        <v>577.30610961428124</v>
      </c>
    </row>
    <row r="41" spans="5:31">
      <c r="E41" s="312">
        <f t="shared" si="21"/>
        <v>4.1297510701749367</v>
      </c>
      <c r="F41" s="313">
        <f t="shared" si="39"/>
        <v>66.843418181818208</v>
      </c>
      <c r="G41" s="314">
        <f t="shared" si="22"/>
        <v>2.179066591569085E-2</v>
      </c>
      <c r="H41" s="313">
        <f t="shared" si="40"/>
        <v>28.509999999999977</v>
      </c>
      <c r="I41" s="316">
        <f t="shared" si="35"/>
        <v>1308.3583636363642</v>
      </c>
      <c r="J41" s="317">
        <f t="shared" si="23"/>
        <v>556.45753051788108</v>
      </c>
      <c r="K41" s="316">
        <f t="shared" si="24"/>
        <v>4061.4086658864917</v>
      </c>
      <c r="L41" s="340">
        <f t="shared" si="36"/>
        <v>133.28160471636829</v>
      </c>
      <c r="M41" s="316">
        <f t="shared" si="25"/>
        <v>883.05594744076723</v>
      </c>
      <c r="N41" s="316">
        <f t="shared" si="26"/>
        <v>893.05755271778617</v>
      </c>
      <c r="O41" s="318">
        <f t="shared" si="27"/>
        <v>0.81270147730277698</v>
      </c>
      <c r="P41" s="317">
        <f t="shared" si="27"/>
        <v>5.3845455609072443</v>
      </c>
      <c r="Q41" s="319">
        <f t="shared" si="28"/>
        <v>5.445531616719899</v>
      </c>
      <c r="R41" s="318">
        <f t="shared" si="29"/>
        <v>20.534871392364472</v>
      </c>
      <c r="S41" s="317">
        <f t="shared" si="30"/>
        <v>136.05358632609372</v>
      </c>
      <c r="T41" s="319">
        <f t="shared" si="37"/>
        <v>137.59454674983596</v>
      </c>
      <c r="U41" s="320">
        <f t="shared" si="38"/>
        <v>214.72902242137781</v>
      </c>
      <c r="V41" s="317">
        <f t="shared" si="31"/>
        <v>-135.24088484879096</v>
      </c>
      <c r="W41" s="317">
        <f t="shared" si="32"/>
        <v>240.64843937464951</v>
      </c>
      <c r="X41" s="321">
        <f t="shared" si="33"/>
        <v>276.04667777051458</v>
      </c>
      <c r="Y41" s="321">
        <f t="shared" si="34"/>
        <v>478.12687115912541</v>
      </c>
      <c r="Z41" s="463">
        <f t="shared" si="41"/>
        <v>559.55329916970948</v>
      </c>
    </row>
    <row r="42" spans="5:31">
      <c r="E42" s="312">
        <f t="shared" si="21"/>
        <v>3.994130326827912</v>
      </c>
      <c r="F42" s="313">
        <f t="shared" si="39"/>
        <v>69.137990909090931</v>
      </c>
      <c r="G42" s="314">
        <f t="shared" si="22"/>
        <v>2.113895870311823E-2</v>
      </c>
      <c r="H42" s="313">
        <f t="shared" si="40"/>
        <v>28.624999999999975</v>
      </c>
      <c r="I42" s="316">
        <f t="shared" si="35"/>
        <v>1354.1348181818187</v>
      </c>
      <c r="J42" s="317">
        <f t="shared" si="23"/>
        <v>540.17484180864176</v>
      </c>
      <c r="K42" s="316">
        <f t="shared" si="24"/>
        <v>3809.2881914000654</v>
      </c>
      <c r="L42" s="340">
        <f t="shared" si="36"/>
        <v>128.85821417221078</v>
      </c>
      <c r="M42" s="316">
        <f t="shared" si="25"/>
        <v>856.6458353184986</v>
      </c>
      <c r="N42" s="316">
        <f t="shared" si="26"/>
        <v>866.2831676352597</v>
      </c>
      <c r="O42" s="318">
        <f t="shared" si="27"/>
        <v>0.7857292928248506</v>
      </c>
      <c r="P42" s="317">
        <f t="shared" si="27"/>
        <v>5.2235065549380755</v>
      </c>
      <c r="Q42" s="319">
        <f t="shared" si="28"/>
        <v>5.2822714102064152</v>
      </c>
      <c r="R42" s="318">
        <f t="shared" si="29"/>
        <v>20.534871392364476</v>
      </c>
      <c r="S42" s="317">
        <f t="shared" si="30"/>
        <v>136.51525570236919</v>
      </c>
      <c r="T42" s="319">
        <f t="shared" si="37"/>
        <v>138.05106295347451</v>
      </c>
      <c r="U42" s="320">
        <f t="shared" si="38"/>
        <v>214.72902242137783</v>
      </c>
      <c r="V42" s="317">
        <f t="shared" si="31"/>
        <v>-135.72952640954435</v>
      </c>
      <c r="W42" s="317">
        <f t="shared" si="32"/>
        <v>240.4874003686804</v>
      </c>
      <c r="X42" s="321">
        <f t="shared" si="33"/>
        <v>276.14614622595258</v>
      </c>
      <c r="Y42" s="321">
        <f t="shared" si="34"/>
        <v>478.29915557769442</v>
      </c>
      <c r="Z42" s="463">
        <f t="shared" si="41"/>
        <v>542.92932423317882</v>
      </c>
      <c r="AD42" s="304"/>
      <c r="AE42" s="304"/>
    </row>
    <row r="43" spans="5:31">
      <c r="E43" s="312">
        <f t="shared" si="21"/>
        <v>3.8673863391421373</v>
      </c>
      <c r="F43" s="313">
        <f t="shared" si="39"/>
        <v>71.432563636363653</v>
      </c>
      <c r="G43" s="314">
        <f t="shared" si="22"/>
        <v>2.0529872542571506E-2</v>
      </c>
      <c r="H43" s="313">
        <f t="shared" si="40"/>
        <v>28.739999999999974</v>
      </c>
      <c r="I43" s="316">
        <f t="shared" si="35"/>
        <v>1399.9112727272729</v>
      </c>
      <c r="J43" s="317">
        <f t="shared" si="23"/>
        <v>524.93697882080767</v>
      </c>
      <c r="K43" s="316">
        <f t="shared" si="24"/>
        <v>3580.7832947138527</v>
      </c>
      <c r="L43" s="340">
        <f t="shared" si="36"/>
        <v>124.71900190160278</v>
      </c>
      <c r="M43" s="316">
        <f t="shared" si="25"/>
        <v>831.96292022743864</v>
      </c>
      <c r="N43" s="316">
        <f t="shared" si="26"/>
        <v>841.25925259024598</v>
      </c>
      <c r="O43" s="318">
        <f t="shared" si="27"/>
        <v>0.76048992138757254</v>
      </c>
      <c r="P43" s="317">
        <f t="shared" si="27"/>
        <v>5.0729993517772778</v>
      </c>
      <c r="Q43" s="319">
        <f t="shared" si="28"/>
        <v>5.1296849166069416</v>
      </c>
      <c r="R43" s="318">
        <f t="shared" si="29"/>
        <v>20.534871392364472</v>
      </c>
      <c r="S43" s="317">
        <f t="shared" si="30"/>
        <v>136.98194589117287</v>
      </c>
      <c r="T43" s="319">
        <f t="shared" si="37"/>
        <v>138.51257864624841</v>
      </c>
      <c r="U43" s="320">
        <f t="shared" si="38"/>
        <v>214.72902242137781</v>
      </c>
      <c r="V43" s="317">
        <f t="shared" si="31"/>
        <v>-136.2214559697853</v>
      </c>
      <c r="W43" s="317">
        <f t="shared" si="32"/>
        <v>240.33689316551954</v>
      </c>
      <c r="X43" s="321">
        <f t="shared" si="33"/>
        <v>276.25732077717419</v>
      </c>
      <c r="Y43" s="321">
        <f t="shared" si="34"/>
        <v>478.49171554891893</v>
      </c>
      <c r="Z43" s="463">
        <f t="shared" si="41"/>
        <v>527.32776906128527</v>
      </c>
      <c r="AD43" s="304"/>
      <c r="AE43" s="304"/>
    </row>
    <row r="44" spans="5:31">
      <c r="E44" s="312">
        <f t="shared" si="21"/>
        <v>3.7486762123181272</v>
      </c>
      <c r="F44" s="313">
        <f t="shared" si="39"/>
        <v>73.727136363636376</v>
      </c>
      <c r="G44" s="314">
        <f t="shared" si="22"/>
        <v>1.9959358757533747E-2</v>
      </c>
      <c r="H44" s="313">
        <f t="shared" si="40"/>
        <v>28.854999999999972</v>
      </c>
      <c r="I44" s="316">
        <f t="shared" si="35"/>
        <v>1445.6877272727274</v>
      </c>
      <c r="J44" s="317">
        <f t="shared" si="23"/>
        <v>510.64653506649631</v>
      </c>
      <c r="K44" s="316">
        <f t="shared" si="24"/>
        <v>3373.0072696363104</v>
      </c>
      <c r="L44" s="340">
        <f t="shared" si="36"/>
        <v>120.83743489044676</v>
      </c>
      <c r="M44" s="316">
        <f t="shared" si="25"/>
        <v>808.84313155628263</v>
      </c>
      <c r="N44" s="316">
        <f t="shared" si="26"/>
        <v>817.81959938404316</v>
      </c>
      <c r="O44" s="318">
        <f t="shared" si="27"/>
        <v>0.73682157457460218</v>
      </c>
      <c r="P44" s="317">
        <f t="shared" si="27"/>
        <v>4.9320235100775802</v>
      </c>
      <c r="Q44" s="319">
        <f t="shared" si="28"/>
        <v>4.9867586603641225</v>
      </c>
      <c r="R44" s="318">
        <f t="shared" si="29"/>
        <v>20.534871392364476</v>
      </c>
      <c r="S44" s="317">
        <f t="shared" si="30"/>
        <v>137.45317995341463</v>
      </c>
      <c r="T44" s="319">
        <f t="shared" si="37"/>
        <v>138.97862289721658</v>
      </c>
      <c r="U44" s="320">
        <f t="shared" si="38"/>
        <v>214.72902242137781</v>
      </c>
      <c r="V44" s="317">
        <f t="shared" si="31"/>
        <v>-136.71635837884003</v>
      </c>
      <c r="W44" s="317">
        <f t="shared" si="32"/>
        <v>240.19591732381986</v>
      </c>
      <c r="X44" s="321">
        <f t="shared" si="33"/>
        <v>276.37916228869847</v>
      </c>
      <c r="Y44" s="321">
        <f t="shared" si="34"/>
        <v>478.70275123734996</v>
      </c>
      <c r="Z44" s="463">
        <f t="shared" si="41"/>
        <v>512.65530789738364</v>
      </c>
      <c r="AD44" s="304"/>
      <c r="AE44" s="304"/>
    </row>
    <row r="45" spans="5:31">
      <c r="E45" s="312">
        <f t="shared" si="21"/>
        <v>3.6372604929162491</v>
      </c>
      <c r="F45" s="313">
        <f t="shared" si="39"/>
        <v>76.021709090909098</v>
      </c>
      <c r="G45" s="314">
        <f t="shared" si="22"/>
        <v>1.9423865724139514E-2</v>
      </c>
      <c r="H45" s="313">
        <f t="shared" si="40"/>
        <v>28.96999999999997</v>
      </c>
      <c r="I45" s="316">
        <f t="shared" si="35"/>
        <v>1491.4641818181819</v>
      </c>
      <c r="J45" s="317">
        <f t="shared" si="23"/>
        <v>497.21784313013825</v>
      </c>
      <c r="K45" s="316">
        <f t="shared" si="24"/>
        <v>3183.5029694584678</v>
      </c>
      <c r="L45" s="340">
        <f t="shared" si="36"/>
        <v>117.19018352174044</v>
      </c>
      <c r="M45" s="316">
        <f t="shared" si="25"/>
        <v>787.1425415063303</v>
      </c>
      <c r="N45" s="316">
        <f t="shared" si="26"/>
        <v>795.81839622045936</v>
      </c>
      <c r="O45" s="318">
        <f t="shared" si="27"/>
        <v>0.71458199708939674</v>
      </c>
      <c r="P45" s="317">
        <f t="shared" si="27"/>
        <v>4.799701411844528</v>
      </c>
      <c r="Q45" s="319">
        <f t="shared" si="28"/>
        <v>4.8526035355700161</v>
      </c>
      <c r="R45" s="318">
        <f t="shared" si="29"/>
        <v>20.534871392364476</v>
      </c>
      <c r="S45" s="317">
        <f t="shared" si="30"/>
        <v>137.92853950341996</v>
      </c>
      <c r="T45" s="319">
        <f t="shared" si="37"/>
        <v>139.4487825427222</v>
      </c>
      <c r="U45" s="320">
        <f t="shared" si="38"/>
        <v>214.72902242137781</v>
      </c>
      <c r="V45" s="317">
        <f t="shared" si="31"/>
        <v>-137.21395750633056</v>
      </c>
      <c r="W45" s="317">
        <f t="shared" si="32"/>
        <v>240.06359522558682</v>
      </c>
      <c r="X45" s="321">
        <f t="shared" si="33"/>
        <v>276.51075908033573</v>
      </c>
      <c r="Y45" s="321">
        <f t="shared" si="34"/>
        <v>478.93068356657875</v>
      </c>
      <c r="Z45" s="463">
        <f t="shared" si="41"/>
        <v>498.82974175312972</v>
      </c>
      <c r="AD45" s="304"/>
      <c r="AE45" s="304"/>
    </row>
    <row r="46" spans="5:31">
      <c r="E46" s="312">
        <f t="shared" si="21"/>
        <v>3.5324877727037647</v>
      </c>
      <c r="F46" s="313">
        <f t="shared" si="39"/>
        <v>78.316281818181821</v>
      </c>
      <c r="G46" s="314">
        <f t="shared" si="22"/>
        <v>1.8920264864192592E-2</v>
      </c>
      <c r="H46" s="313">
        <f t="shared" si="40"/>
        <v>29.084999999999969</v>
      </c>
      <c r="I46" s="316">
        <f t="shared" si="35"/>
        <v>1537.2406363636364</v>
      </c>
      <c r="J46" s="317">
        <f t="shared" si="23"/>
        <v>484.57525851882497</v>
      </c>
      <c r="K46" s="316">
        <f t="shared" si="24"/>
        <v>3010.1681884654763</v>
      </c>
      <c r="L46" s="340">
        <f t="shared" si="36"/>
        <v>113.75665229719445</v>
      </c>
      <c r="M46" s="316">
        <f t="shared" si="25"/>
        <v>766.73436599517288</v>
      </c>
      <c r="N46" s="316">
        <f t="shared" si="26"/>
        <v>775.12719210455032</v>
      </c>
      <c r="O46" s="318">
        <f t="shared" si="27"/>
        <v>0.69364560527079611</v>
      </c>
      <c r="P46" s="317">
        <f t="shared" si="27"/>
        <v>4.6752599750666048</v>
      </c>
      <c r="Q46" s="319">
        <f t="shared" si="28"/>
        <v>4.7264362960026531</v>
      </c>
      <c r="R46" s="318">
        <f t="shared" si="29"/>
        <v>20.534871392364476</v>
      </c>
      <c r="S46" s="317">
        <f t="shared" si="30"/>
        <v>138.40765599081627</v>
      </c>
      <c r="T46" s="319">
        <f t="shared" si="37"/>
        <v>139.92269358461152</v>
      </c>
      <c r="U46" s="320">
        <f t="shared" si="38"/>
        <v>214.72902242137781</v>
      </c>
      <c r="V46" s="317">
        <f t="shared" si="31"/>
        <v>-137.71401038554546</v>
      </c>
      <c r="W46" s="317">
        <f t="shared" si="32"/>
        <v>239.93915378880888</v>
      </c>
      <c r="X46" s="321">
        <f t="shared" si="33"/>
        <v>276.65130792634943</v>
      </c>
      <c r="Y46" s="321">
        <f t="shared" si="34"/>
        <v>479.17412130881962</v>
      </c>
      <c r="Z46" s="463">
        <f t="shared" si="41"/>
        <v>485.77837942155634</v>
      </c>
      <c r="AD46" s="304"/>
      <c r="AE46" s="304"/>
    </row>
    <row r="47" spans="5:31">
      <c r="E47" s="343">
        <f t="shared" si="21"/>
        <v>3.4337819629396273</v>
      </c>
      <c r="F47" s="313">
        <f t="shared" si="39"/>
        <v>80.610854545454544</v>
      </c>
      <c r="G47" s="344">
        <f t="shared" si="22"/>
        <v>1.844578947864111E-2</v>
      </c>
      <c r="H47" s="313">
        <f t="shared" si="40"/>
        <v>29.199999999999967</v>
      </c>
      <c r="I47" s="316">
        <f t="shared" si="35"/>
        <v>1583.0170909090909</v>
      </c>
      <c r="J47" s="345">
        <f t="shared" si="23"/>
        <v>472.65173592930677</v>
      </c>
      <c r="K47" s="346">
        <f t="shared" si="24"/>
        <v>2851.1957539604746</v>
      </c>
      <c r="L47" s="347">
        <f t="shared" si="36"/>
        <v>110.51859070637228</v>
      </c>
      <c r="M47" s="346">
        <f t="shared" si="25"/>
        <v>747.50648591355571</v>
      </c>
      <c r="N47" s="346">
        <f t="shared" si="26"/>
        <v>755.63238772206921</v>
      </c>
      <c r="O47" s="348">
        <f t="shared" si="27"/>
        <v>0.67390111431828448</v>
      </c>
      <c r="P47" s="345">
        <f t="shared" si="27"/>
        <v>4.5580155392647912</v>
      </c>
      <c r="Q47" s="349">
        <f t="shared" si="28"/>
        <v>4.6075642554454666</v>
      </c>
      <c r="R47" s="348">
        <f t="shared" si="29"/>
        <v>20.534871392364476</v>
      </c>
      <c r="S47" s="345">
        <f t="shared" si="30"/>
        <v>138.89020349504082</v>
      </c>
      <c r="T47" s="319">
        <f t="shared" si="37"/>
        <v>140.40003408117391</v>
      </c>
      <c r="U47" s="350">
        <f t="shared" si="38"/>
        <v>214.72902242137781</v>
      </c>
      <c r="V47" s="345">
        <f t="shared" si="31"/>
        <v>-138.21630238072254</v>
      </c>
      <c r="W47" s="345">
        <f t="shared" si="32"/>
        <v>239.82190935300707</v>
      </c>
      <c r="X47" s="351">
        <f t="shared" si="33"/>
        <v>276.80009835533167</v>
      </c>
      <c r="Y47" s="351">
        <f t="shared" si="34"/>
        <v>479.43183389149686</v>
      </c>
      <c r="Z47" s="463">
        <f t="shared" si="41"/>
        <v>473.43669413937789</v>
      </c>
      <c r="AD47" s="304"/>
      <c r="AE47" s="304"/>
    </row>
    <row r="48" spans="5:31" ht="15.75" thickBot="1">
      <c r="E48" s="312">
        <f t="shared" si="21"/>
        <v>3.3406317138877677</v>
      </c>
      <c r="F48" s="313">
        <f t="shared" si="39"/>
        <v>82.905427272727266</v>
      </c>
      <c r="G48" s="314">
        <f>H48/I48</f>
        <v>1.7997983895386243E-2</v>
      </c>
      <c r="H48" s="313">
        <f t="shared" si="40"/>
        <v>29.314999999999966</v>
      </c>
      <c r="I48" s="316">
        <f>F48*120/$B$3-H48</f>
        <v>1628.7935454545452</v>
      </c>
      <c r="J48" s="317">
        <f t="shared" si="23"/>
        <v>461.38764142526554</v>
      </c>
      <c r="K48" s="316">
        <f t="shared" si="24"/>
        <v>2705.0251034921439</v>
      </c>
      <c r="L48" s="340">
        <f t="shared" si="36"/>
        <v>107.45976871565708</v>
      </c>
      <c r="M48" s="316">
        <f t="shared" si="25"/>
        <v>729.35938636550338</v>
      </c>
      <c r="N48" s="316">
        <f t="shared" si="26"/>
        <v>737.23314926275953</v>
      </c>
      <c r="O48" s="318">
        <f t="shared" si="27"/>
        <v>0.65524955954483599</v>
      </c>
      <c r="P48" s="317">
        <f t="shared" si="27"/>
        <v>4.4473612997480352</v>
      </c>
      <c r="Q48" s="319">
        <f t="shared" si="28"/>
        <v>4.4953725669604108</v>
      </c>
      <c r="R48" s="318">
        <f t="shared" si="29"/>
        <v>20.534871392364472</v>
      </c>
      <c r="S48" s="317">
        <f t="shared" si="30"/>
        <v>139.37589273488976</v>
      </c>
      <c r="T48" s="319">
        <f t="shared" si="37"/>
        <v>140.88051823708076</v>
      </c>
      <c r="U48" s="320">
        <f t="shared" si="38"/>
        <v>214.72902242137781</v>
      </c>
      <c r="V48" s="317">
        <f t="shared" si="31"/>
        <v>-138.72064317534492</v>
      </c>
      <c r="W48" s="317">
        <f t="shared" si="32"/>
        <v>239.71125511349032</v>
      </c>
      <c r="X48" s="321">
        <f t="shared" si="33"/>
        <v>276.95649960068857</v>
      </c>
      <c r="Y48" s="321">
        <f t="shared" si="34"/>
        <v>479.70272879482206</v>
      </c>
      <c r="Z48" s="463">
        <f t="shared" si="41"/>
        <v>461.7472025264475</v>
      </c>
      <c r="AD48" s="304"/>
      <c r="AE48" s="304"/>
    </row>
    <row r="49" spans="4:31" ht="15.75" thickBot="1">
      <c r="D49" s="336" t="s">
        <v>216</v>
      </c>
      <c r="E49" s="325">
        <f t="shared" si="21"/>
        <v>3.2525815691779263</v>
      </c>
      <c r="F49" s="326">
        <v>85.2</v>
      </c>
      <c r="G49" s="327">
        <f>H49/I49</f>
        <v>1.7574660957738405E-2</v>
      </c>
      <c r="H49" s="330">
        <v>29.43</v>
      </c>
      <c r="I49" s="329">
        <f>F49*120/$B$3-H49</f>
        <v>1674.57</v>
      </c>
      <c r="J49" s="464">
        <f t="shared" si="23"/>
        <v>450.72975615862964</v>
      </c>
      <c r="K49" s="329">
        <f t="shared" si="24"/>
        <v>2570.3028965495828</v>
      </c>
      <c r="L49" s="352">
        <f t="shared" si="36"/>
        <v>104.56570469483569</v>
      </c>
      <c r="M49" s="329">
        <f t="shared" si="25"/>
        <v>712.20443390905541</v>
      </c>
      <c r="N49" s="329">
        <f t="shared" si="26"/>
        <v>719.83966428507233</v>
      </c>
      <c r="O49" s="331">
        <f t="shared" ref="O49:P56" si="42">$B$16*L49/1000</f>
        <v>0.63760263737477663</v>
      </c>
      <c r="P49" s="330">
        <f t="shared" si="42"/>
        <v>4.3427568028702899</v>
      </c>
      <c r="Q49" s="332">
        <f t="shared" si="28"/>
        <v>4.3893135878020209</v>
      </c>
      <c r="R49" s="331">
        <f t="shared" si="29"/>
        <v>20.534871392364479</v>
      </c>
      <c r="S49" s="330">
        <f t="shared" si="30"/>
        <v>139.86446606060605</v>
      </c>
      <c r="T49" s="332">
        <f t="shared" si="37"/>
        <v>141.36389146284623</v>
      </c>
      <c r="U49" s="333">
        <f t="shared" si="38"/>
        <v>214.72902242137783</v>
      </c>
      <c r="V49" s="330">
        <f t="shared" si="31"/>
        <v>-139.22686342323126</v>
      </c>
      <c r="W49" s="330">
        <f t="shared" si="32"/>
        <v>239.6066506166126</v>
      </c>
      <c r="X49" s="334">
        <f t="shared" si="33"/>
        <v>277.11994969395931</v>
      </c>
      <c r="Y49" s="334">
        <f t="shared" si="34"/>
        <v>479.98583266086882</v>
      </c>
      <c r="Z49" s="465">
        <f t="shared" si="41"/>
        <v>450.65852394300822</v>
      </c>
      <c r="AD49" s="304"/>
      <c r="AE49" s="304"/>
    </row>
    <row r="50" spans="4:31">
      <c r="E50" s="312">
        <f t="shared" si="21"/>
        <v>3.0951783275407725</v>
      </c>
      <c r="F50" s="313">
        <f>F49*1.05</f>
        <v>89.460000000000008</v>
      </c>
      <c r="G50" s="314">
        <f t="shared" si="22"/>
        <v>1.6723776402598065E-2</v>
      </c>
      <c r="H50" s="317">
        <f>H49</f>
        <v>29.43</v>
      </c>
      <c r="I50" s="316">
        <f t="shared" si="35"/>
        <v>1759.77</v>
      </c>
      <c r="J50" s="317">
        <f t="shared" si="23"/>
        <v>429.2789660235843</v>
      </c>
      <c r="K50" s="316">
        <f t="shared" si="24"/>
        <v>2329.4590568550857</v>
      </c>
      <c r="L50" s="340">
        <f t="shared" si="36"/>
        <v>99.586385423653027</v>
      </c>
      <c r="M50" s="316">
        <f t="shared" si="25"/>
        <v>677.72275859407</v>
      </c>
      <c r="N50" s="316">
        <f t="shared" si="26"/>
        <v>685.00042750213265</v>
      </c>
      <c r="O50" s="318">
        <f t="shared" si="42"/>
        <v>0.60724060702359672</v>
      </c>
      <c r="P50" s="317">
        <f t="shared" si="42"/>
        <v>4.1325004173173197</v>
      </c>
      <c r="Q50" s="319">
        <f t="shared" si="28"/>
        <v>4.1768769258796947</v>
      </c>
      <c r="R50" s="318">
        <f t="shared" si="29"/>
        <v>20.534871392364472</v>
      </c>
      <c r="S50" s="317">
        <f t="shared" si="30"/>
        <v>139.74751295775266</v>
      </c>
      <c r="T50" s="319">
        <f t="shared" si="37"/>
        <v>141.24817988554113</v>
      </c>
      <c r="U50" s="320">
        <f t="shared" si="38"/>
        <v>214.72902242137781</v>
      </c>
      <c r="V50" s="317">
        <f t="shared" si="31"/>
        <v>-139.14027235072908</v>
      </c>
      <c r="W50" s="317">
        <f t="shared" si="32"/>
        <v>239.39639423105959</v>
      </c>
      <c r="X50" s="321">
        <f t="shared" si="33"/>
        <v>276.89465318179754</v>
      </c>
      <c r="Y50" s="321">
        <f t="shared" si="34"/>
        <v>479.59560765503659</v>
      </c>
      <c r="Z50" s="463">
        <f t="shared" si="41"/>
        <v>431.46538245741749</v>
      </c>
      <c r="AD50" s="304"/>
      <c r="AE50" s="304"/>
    </row>
    <row r="51" spans="4:31">
      <c r="E51" s="312">
        <f t="shared" si="21"/>
        <v>2.9455086282123739</v>
      </c>
      <c r="F51" s="313">
        <f t="shared" ref="F51:F56" si="43">F50*1.05</f>
        <v>93.933000000000007</v>
      </c>
      <c r="G51" s="314">
        <f t="shared" si="22"/>
        <v>1.5914732077675572E-2</v>
      </c>
      <c r="H51" s="317">
        <f t="shared" ref="H51:H56" si="44">H50</f>
        <v>29.43</v>
      </c>
      <c r="I51" s="316">
        <f t="shared" si="35"/>
        <v>1849.23</v>
      </c>
      <c r="J51" s="317">
        <f t="shared" si="23"/>
        <v>408.84790927166762</v>
      </c>
      <c r="K51" s="316">
        <f t="shared" si="24"/>
        <v>2111.262495201981</v>
      </c>
      <c r="L51" s="340">
        <f t="shared" si="36"/>
        <v>94.844176593955268</v>
      </c>
      <c r="M51" s="316">
        <f t="shared" si="25"/>
        <v>644.93663789311586</v>
      </c>
      <c r="N51" s="316">
        <f t="shared" si="26"/>
        <v>651.87321215912948</v>
      </c>
      <c r="O51" s="318">
        <f t="shared" si="42"/>
        <v>0.57832438764152072</v>
      </c>
      <c r="P51" s="317">
        <f t="shared" si="42"/>
        <v>3.9325828909235199</v>
      </c>
      <c r="Q51" s="319">
        <f t="shared" si="28"/>
        <v>3.9748795316745547</v>
      </c>
      <c r="R51" s="318">
        <f t="shared" si="29"/>
        <v>20.534871392364476</v>
      </c>
      <c r="S51" s="317">
        <f t="shared" si="30"/>
        <v>139.63631074639048</v>
      </c>
      <c r="T51" s="319">
        <f t="shared" si="37"/>
        <v>141.13816004880988</v>
      </c>
      <c r="U51" s="320">
        <f t="shared" si="38"/>
        <v>214.72902242137781</v>
      </c>
      <c r="V51" s="317">
        <f t="shared" si="31"/>
        <v>-139.05798635874896</v>
      </c>
      <c r="W51" s="317">
        <f t="shared" si="32"/>
        <v>239.1964767046658</v>
      </c>
      <c r="X51" s="321">
        <f t="shared" si="33"/>
        <v>276.68046197387292</v>
      </c>
      <c r="Y51" s="321">
        <f t="shared" si="34"/>
        <v>479.22461760037663</v>
      </c>
      <c r="Z51" s="463">
        <f t="shared" si="41"/>
        <v>413.10432685910848</v>
      </c>
      <c r="AD51" s="304"/>
      <c r="AE51" s="304"/>
    </row>
    <row r="52" spans="4:31">
      <c r="E52" s="312">
        <f t="shared" si="21"/>
        <v>2.8031815118591186</v>
      </c>
      <c r="F52" s="313">
        <f t="shared" si="43"/>
        <v>98.629650000000012</v>
      </c>
      <c r="G52" s="314">
        <f t="shared" si="22"/>
        <v>1.5145409829232031E-2</v>
      </c>
      <c r="H52" s="317">
        <f t="shared" si="44"/>
        <v>29.43</v>
      </c>
      <c r="I52" s="316">
        <f t="shared" si="35"/>
        <v>1943.163</v>
      </c>
      <c r="J52" s="317">
        <f t="shared" si="23"/>
        <v>389.38826787911199</v>
      </c>
      <c r="K52" s="316">
        <f t="shared" si="24"/>
        <v>1913.5728999044886</v>
      </c>
      <c r="L52" s="340">
        <f t="shared" si="36"/>
        <v>90.327787232338338</v>
      </c>
      <c r="M52" s="316">
        <f t="shared" si="25"/>
        <v>613.76023467464472</v>
      </c>
      <c r="N52" s="316">
        <f t="shared" si="26"/>
        <v>620.37144906432104</v>
      </c>
      <c r="O52" s="318">
        <f t="shared" si="42"/>
        <v>0.55078513108716254</v>
      </c>
      <c r="P52" s="317">
        <f t="shared" si="42"/>
        <v>3.7424808208999965</v>
      </c>
      <c r="Q52" s="319">
        <f t="shared" si="28"/>
        <v>3.7827935385678946</v>
      </c>
      <c r="R52" s="318">
        <f t="shared" si="29"/>
        <v>20.534871392364472</v>
      </c>
      <c r="S52" s="317">
        <f t="shared" si="30"/>
        <v>139.53056828872568</v>
      </c>
      <c r="T52" s="319">
        <f t="shared" si="37"/>
        <v>141.03354363439814</v>
      </c>
      <c r="U52" s="320">
        <f t="shared" si="38"/>
        <v>214.72902242137781</v>
      </c>
      <c r="V52" s="317">
        <f t="shared" si="31"/>
        <v>-138.97978315763851</v>
      </c>
      <c r="W52" s="317">
        <f t="shared" si="32"/>
        <v>239.00637463464227</v>
      </c>
      <c r="X52" s="321">
        <f t="shared" si="33"/>
        <v>276.47681140113576</v>
      </c>
      <c r="Y52" s="321">
        <f t="shared" si="34"/>
        <v>478.87188446140533</v>
      </c>
      <c r="Z52" s="463">
        <f t="shared" si="41"/>
        <v>395.53798148071428</v>
      </c>
      <c r="AD52" s="304"/>
      <c r="AE52" s="304"/>
    </row>
    <row r="53" spans="4:31">
      <c r="E53" s="312">
        <f t="shared" si="21"/>
        <v>2.6678268232320712</v>
      </c>
      <c r="F53" s="313">
        <f t="shared" si="43"/>
        <v>103.56113250000001</v>
      </c>
      <c r="G53" s="314">
        <f t="shared" si="22"/>
        <v>1.4413804457568206E-2</v>
      </c>
      <c r="H53" s="317">
        <f t="shared" si="44"/>
        <v>29.43</v>
      </c>
      <c r="I53" s="316">
        <f t="shared" si="35"/>
        <v>2041.7926500000001</v>
      </c>
      <c r="J53" s="317">
        <f t="shared" si="23"/>
        <v>370.85399104495542</v>
      </c>
      <c r="K53" s="316">
        <f t="shared" si="24"/>
        <v>1734.4536676678351</v>
      </c>
      <c r="L53" s="340">
        <f t="shared" si="36"/>
        <v>86.026464030798422</v>
      </c>
      <c r="M53" s="316">
        <f t="shared" si="25"/>
        <v>584.11228921364113</v>
      </c>
      <c r="N53" s="316">
        <f t="shared" si="26"/>
        <v>590.41317644852961</v>
      </c>
      <c r="O53" s="318">
        <f t="shared" si="42"/>
        <v>0.52455726770205957</v>
      </c>
      <c r="P53" s="317">
        <f t="shared" si="42"/>
        <v>3.5616987157743472</v>
      </c>
      <c r="Q53" s="319">
        <f t="shared" si="28"/>
        <v>3.6001191742840515</v>
      </c>
      <c r="R53" s="318">
        <f t="shared" si="29"/>
        <v>20.534871392364476</v>
      </c>
      <c r="S53" s="317">
        <f t="shared" si="30"/>
        <v>139.43000997236732</v>
      </c>
      <c r="T53" s="319">
        <f t="shared" si="37"/>
        <v>140.93405771493065</v>
      </c>
      <c r="U53" s="320">
        <f t="shared" si="38"/>
        <v>214.72902242137781</v>
      </c>
      <c r="V53" s="317">
        <f t="shared" si="31"/>
        <v>-138.90545270466527</v>
      </c>
      <c r="W53" s="317">
        <f t="shared" si="32"/>
        <v>238.82559252951663</v>
      </c>
      <c r="X53" s="321">
        <f t="shared" si="33"/>
        <v>276.28316712779065</v>
      </c>
      <c r="Y53" s="321">
        <f t="shared" si="34"/>
        <v>478.53648274137686</v>
      </c>
      <c r="Z53" s="463">
        <f t="shared" si="41"/>
        <v>378.73076479570699</v>
      </c>
      <c r="AD53" s="304"/>
      <c r="AE53" s="304"/>
    </row>
    <row r="54" spans="4:31">
      <c r="E54" s="312">
        <f t="shared" si="21"/>
        <v>16.195156256997084</v>
      </c>
      <c r="F54" s="313">
        <f t="shared" si="43"/>
        <v>108.73918912500002</v>
      </c>
      <c r="G54" s="314">
        <f t="shared" si="22"/>
        <v>0.17126388274020801</v>
      </c>
      <c r="H54" s="317">
        <v>318</v>
      </c>
      <c r="I54" s="316">
        <f t="shared" si="35"/>
        <v>1856.7837825000006</v>
      </c>
      <c r="J54" s="317">
        <f t="shared" si="23"/>
        <v>3705.2009882577931</v>
      </c>
      <c r="K54" s="316">
        <f t="shared" si="24"/>
        <v>19055.564508525211</v>
      </c>
      <c r="L54" s="340">
        <f t="shared" si="36"/>
        <v>81.929965743617529</v>
      </c>
      <c r="M54" s="316">
        <f t="shared" si="25"/>
        <v>6940.3840534601704</v>
      </c>
      <c r="N54" s="316">
        <f t="shared" si="26"/>
        <v>6940.8676207525359</v>
      </c>
      <c r="O54" s="318">
        <f t="shared" si="42"/>
        <v>0.49957835019243757</v>
      </c>
      <c r="P54" s="317">
        <f t="shared" si="42"/>
        <v>42.319871412855314</v>
      </c>
      <c r="Q54" s="319">
        <f t="shared" si="28"/>
        <v>42.322820025709404</v>
      </c>
      <c r="R54" s="318">
        <f t="shared" si="29"/>
        <v>20.534871392364472</v>
      </c>
      <c r="S54" s="317">
        <f t="shared" si="30"/>
        <v>1739.5331812710338</v>
      </c>
      <c r="T54" s="319">
        <f t="shared" si="37"/>
        <v>1739.6543822512631</v>
      </c>
      <c r="U54" s="320">
        <f t="shared" si="38"/>
        <v>214.72902242137781</v>
      </c>
      <c r="V54" s="317">
        <f t="shared" si="31"/>
        <v>-1739.0336029208413</v>
      </c>
      <c r="W54" s="317">
        <f t="shared" si="32"/>
        <v>277.58376522659762</v>
      </c>
      <c r="X54" s="321">
        <f t="shared" si="33"/>
        <v>1761.0481591385333</v>
      </c>
      <c r="Y54" s="321">
        <f t="shared" si="34"/>
        <v>3050.2248862035813</v>
      </c>
      <c r="Z54" s="463">
        <f t="shared" si="41"/>
        <v>411.63007634080697</v>
      </c>
      <c r="AD54" s="304"/>
      <c r="AE54" s="304"/>
    </row>
    <row r="55" spans="4:31">
      <c r="E55" s="312">
        <f t="shared" si="21"/>
        <v>15.299225602567281</v>
      </c>
      <c r="F55" s="313">
        <f t="shared" si="43"/>
        <v>114.17614858125003</v>
      </c>
      <c r="G55" s="314">
        <f t="shared" si="22"/>
        <v>0.16178900200646995</v>
      </c>
      <c r="H55" s="317">
        <f t="shared" si="44"/>
        <v>318</v>
      </c>
      <c r="I55" s="316">
        <f t="shared" si="35"/>
        <v>1965.5229716250005</v>
      </c>
      <c r="J55" s="317">
        <f t="shared" si="23"/>
        <v>3540.2348266131235</v>
      </c>
      <c r="K55" s="316">
        <f t="shared" si="24"/>
        <v>17199.876485668163</v>
      </c>
      <c r="L55" s="340">
        <f t="shared" si="36"/>
        <v>78.028538803445272</v>
      </c>
      <c r="M55" s="316">
        <f t="shared" si="25"/>
        <v>6556.4192028405951</v>
      </c>
      <c r="N55" s="316">
        <f t="shared" si="26"/>
        <v>6556.8834987549308</v>
      </c>
      <c r="O55" s="318">
        <f t="shared" si="42"/>
        <v>0.47578890494517867</v>
      </c>
      <c r="P55" s="317">
        <f t="shared" si="42"/>
        <v>39.978597071246597</v>
      </c>
      <c r="Q55" s="319">
        <f t="shared" si="28"/>
        <v>39.981428174430626</v>
      </c>
      <c r="R55" s="318">
        <f t="shared" si="29"/>
        <v>20.534871392364476</v>
      </c>
      <c r="S55" s="317">
        <f t="shared" si="30"/>
        <v>1725.4613144032853</v>
      </c>
      <c r="T55" s="319">
        <f t="shared" si="37"/>
        <v>1725.5835037590657</v>
      </c>
      <c r="U55" s="320">
        <f t="shared" si="38"/>
        <v>214.72902242137783</v>
      </c>
      <c r="V55" s="317">
        <f t="shared" si="31"/>
        <v>-1724.9855254983402</v>
      </c>
      <c r="W55" s="317">
        <f t="shared" si="32"/>
        <v>275.24249088498891</v>
      </c>
      <c r="X55" s="321">
        <f t="shared" si="33"/>
        <v>1746.8066555767864</v>
      </c>
      <c r="Y55" s="321">
        <f t="shared" si="34"/>
        <v>3025.5578784584623</v>
      </c>
      <c r="Z55" s="463">
        <f t="shared" si="41"/>
        <v>391.58899224067505</v>
      </c>
      <c r="AD55" s="304"/>
      <c r="AE55" s="304"/>
    </row>
    <row r="56" spans="4:31">
      <c r="E56" s="312">
        <f t="shared" si="21"/>
        <v>14.459330925318472</v>
      </c>
      <c r="F56" s="313">
        <f t="shared" si="43"/>
        <v>119.88495601031254</v>
      </c>
      <c r="G56" s="314">
        <f t="shared" si="22"/>
        <v>0.15290673391661719</v>
      </c>
      <c r="H56" s="317">
        <f t="shared" si="44"/>
        <v>318</v>
      </c>
      <c r="I56" s="316">
        <f t="shared" si="35"/>
        <v>2079.6991202062504</v>
      </c>
      <c r="J56" s="317">
        <f t="shared" si="23"/>
        <v>3381.3300213472862</v>
      </c>
      <c r="K56" s="316">
        <f t="shared" si="24"/>
        <v>15525.958978212408</v>
      </c>
      <c r="L56" s="340">
        <f t="shared" si="36"/>
        <v>74.312894098519294</v>
      </c>
      <c r="M56" s="316">
        <f t="shared" si="25"/>
        <v>6196.469686205588</v>
      </c>
      <c r="N56" s="316">
        <f t="shared" si="26"/>
        <v>6196.9152792574205</v>
      </c>
      <c r="O56" s="318">
        <f t="shared" si="42"/>
        <v>0.45313229042397962</v>
      </c>
      <c r="P56" s="317">
        <f t="shared" si="42"/>
        <v>37.783759272390434</v>
      </c>
      <c r="Q56" s="319">
        <f t="shared" si="28"/>
        <v>37.786476332499895</v>
      </c>
      <c r="R56" s="318">
        <f t="shared" si="29"/>
        <v>20.534871392364472</v>
      </c>
      <c r="S56" s="317">
        <f t="shared" si="30"/>
        <v>1712.2695816990415</v>
      </c>
      <c r="T56" s="319">
        <f t="shared" si="37"/>
        <v>1712.3927123632916</v>
      </c>
      <c r="U56" s="320">
        <f t="shared" si="38"/>
        <v>214.72902242137781</v>
      </c>
      <c r="V56" s="317">
        <f t="shared" si="31"/>
        <v>-1711.8164494086175</v>
      </c>
      <c r="W56" s="317">
        <f t="shared" si="32"/>
        <v>273.0476530861327</v>
      </c>
      <c r="X56" s="321">
        <f t="shared" si="33"/>
        <v>1733.4562519203566</v>
      </c>
      <c r="Y56" s="321">
        <f t="shared" si="34"/>
        <v>3002.4343010239727</v>
      </c>
      <c r="Z56" s="463">
        <f t="shared" si="41"/>
        <v>372.66992342336187</v>
      </c>
      <c r="AD56" s="304"/>
      <c r="AE56" s="304"/>
    </row>
    <row r="57" spans="4:31">
      <c r="E57" s="312"/>
      <c r="F57" s="313"/>
      <c r="G57" s="314"/>
      <c r="H57" s="317"/>
      <c r="I57" s="316"/>
      <c r="J57" s="317"/>
      <c r="K57" s="316"/>
      <c r="L57" s="316"/>
      <c r="M57" s="316"/>
      <c r="N57" s="316"/>
      <c r="O57" s="318"/>
      <c r="P57" s="317"/>
      <c r="Q57" s="319"/>
      <c r="R57" s="318"/>
      <c r="S57" s="317"/>
      <c r="T57" s="319"/>
      <c r="U57" s="320"/>
      <c r="V57" s="317"/>
      <c r="W57" s="317"/>
      <c r="X57" s="321"/>
      <c r="Y57" s="321"/>
      <c r="AD57" s="304"/>
      <c r="AE57" s="304"/>
    </row>
    <row r="58" spans="4:31" ht="15.75" thickBot="1">
      <c r="E58" s="299" t="s">
        <v>217</v>
      </c>
      <c r="P58" s="300">
        <f>P63/O63</f>
        <v>1.8342324361514299</v>
      </c>
      <c r="S58" s="300">
        <f>S63/R63</f>
        <v>1.8342324361514302</v>
      </c>
      <c r="AD58" s="304"/>
      <c r="AE58" s="304"/>
    </row>
    <row r="59" spans="4:31">
      <c r="E59" s="307" t="s">
        <v>187</v>
      </c>
      <c r="F59" s="300" t="s">
        <v>188</v>
      </c>
      <c r="G59" s="300" t="s">
        <v>189</v>
      </c>
      <c r="H59" s="300" t="s">
        <v>158</v>
      </c>
      <c r="I59" s="300" t="s">
        <v>82</v>
      </c>
      <c r="J59" s="300" t="s">
        <v>190</v>
      </c>
      <c r="K59" s="300" t="s">
        <v>191</v>
      </c>
      <c r="L59" s="300" t="s">
        <v>192</v>
      </c>
      <c r="M59" s="300" t="s">
        <v>193</v>
      </c>
      <c r="N59" s="300" t="s">
        <v>194</v>
      </c>
      <c r="O59" s="308" t="s">
        <v>195</v>
      </c>
      <c r="P59" s="309" t="s">
        <v>196</v>
      </c>
      <c r="Q59" s="310" t="s">
        <v>197</v>
      </c>
      <c r="R59" s="308" t="s">
        <v>198</v>
      </c>
      <c r="S59" s="309" t="s">
        <v>199</v>
      </c>
      <c r="T59" s="310" t="s">
        <v>200</v>
      </c>
      <c r="U59" s="311" t="s">
        <v>160</v>
      </c>
      <c r="V59" s="300" t="s">
        <v>201</v>
      </c>
      <c r="W59" s="300" t="s">
        <v>202</v>
      </c>
      <c r="X59" s="300" t="s">
        <v>203</v>
      </c>
      <c r="Y59" s="300" t="s">
        <v>204</v>
      </c>
    </row>
    <row r="60" spans="4:31">
      <c r="E60" s="312">
        <f>X60/F60</f>
        <v>2.7613238096837067</v>
      </c>
      <c r="F60" s="321">
        <f>F$71-$H$71/120*$B$3+H60/120*$B$3</f>
        <v>83.728500049999994</v>
      </c>
      <c r="G60" s="314">
        <f>H60/I60</f>
        <v>5.9716822826158357E-10</v>
      </c>
      <c r="H60" s="353">
        <v>9.9999999999999995E-7</v>
      </c>
      <c r="I60" s="316">
        <f t="shared" ref="I60:I69" si="45">I61</f>
        <v>1674.57</v>
      </c>
      <c r="J60" s="317">
        <f>3*(1-G60)/G60*$B$17/1000*M60^2/1000</f>
        <v>1.5055453613132786E-5</v>
      </c>
      <c r="K60" s="316">
        <f>J60/I60*1000*30/PI()</f>
        <v>8.5854274100962707E-5</v>
      </c>
      <c r="L60" s="354">
        <f t="shared" ref="L60:L69" si="46">L61</f>
        <v>104.56570469483569</v>
      </c>
      <c r="M60" s="316">
        <f>U60/$B$17*1000*G60</f>
        <v>2.3781986451564288E-5</v>
      </c>
      <c r="N60" s="316">
        <f>(L60^2+M60^2)^0.5</f>
        <v>104.56570469483839</v>
      </c>
      <c r="O60" s="318">
        <f>$B$16*L60/1000</f>
        <v>0.63760263737477663</v>
      </c>
      <c r="P60" s="300">
        <f>$B$16*M60/1000</f>
        <v>1.4501367659484145E-7</v>
      </c>
      <c r="Q60" s="319">
        <f>N60*$B$16/1000</f>
        <v>0.63760263737479306</v>
      </c>
      <c r="R60" s="318">
        <f>2*PI()*F60*$B$19*L60/1000</f>
        <v>20.180211037586062</v>
      </c>
      <c r="S60" s="317">
        <f>2*PI()*F60*$B$19*M60/1000</f>
        <v>4.5897027795699679E-6</v>
      </c>
      <c r="T60" s="319">
        <f>2*PI()*F60*$B$19*N60/1000</f>
        <v>20.180211037586581</v>
      </c>
      <c r="U60" s="320">
        <f>$B$21*2*PI()*F60*L60/1000</f>
        <v>211.02041038198101</v>
      </c>
      <c r="V60" s="317">
        <f>O60-S60</f>
        <v>0.63759804767199701</v>
      </c>
      <c r="W60" s="317">
        <f>P60+R60+U60</f>
        <v>231.20062156458076</v>
      </c>
      <c r="X60" s="321">
        <f>(W60^2+V60^2)^0.5</f>
        <v>231.2015007371684</v>
      </c>
      <c r="Y60" s="321">
        <f>X60*3^0.5</f>
        <v>400.4527460629489</v>
      </c>
    </row>
    <row r="61" spans="4:31">
      <c r="E61" s="312">
        <f t="shared" ref="E61:E75" si="47">X61/F61</f>
        <v>2.7694521110834796</v>
      </c>
      <c r="F61" s="321">
        <f>F$71-$H$71/120*$B$3+H61/120*$B$3</f>
        <v>83.862272772727266</v>
      </c>
      <c r="G61" s="314">
        <f t="shared" ref="G61:G75" si="48">H61/I61</f>
        <v>1.5976969935836988E-3</v>
      </c>
      <c r="H61" s="353">
        <f>H60+($H$71-$H$60)/11</f>
        <v>2.6754554545454545</v>
      </c>
      <c r="I61" s="316">
        <f t="shared" si="45"/>
        <v>1674.57</v>
      </c>
      <c r="J61" s="317">
        <f t="shared" ref="J61:J75" si="49">3*(1-G61)/G61*$B$17/1000*M61^2/1000</f>
        <v>40.34444802811435</v>
      </c>
      <c r="K61" s="316">
        <f t="shared" ref="K61:K75" si="50">J61/I61*1000*30/PI()</f>
        <v>230.06568838526198</v>
      </c>
      <c r="L61" s="354">
        <f t="shared" si="46"/>
        <v>104.56570469483569</v>
      </c>
      <c r="M61" s="316">
        <f t="shared" ref="M61:M75" si="51">U61/$B$17*1000*G61</f>
        <v>63.729303031425935</v>
      </c>
      <c r="N61" s="316">
        <f t="shared" ref="N61:N75" si="52">(L61^2+M61^2)^0.5</f>
        <v>122.45574981681708</v>
      </c>
      <c r="O61" s="318">
        <f t="shared" ref="O61:P75" si="53">$B$16*L61/1000</f>
        <v>0.63760263737477663</v>
      </c>
      <c r="P61" s="317">
        <f t="shared" si="53"/>
        <v>0.388597502493572</v>
      </c>
      <c r="Q61" s="319">
        <f t="shared" ref="Q61:Q75" si="54">N61*$B$16/1000</f>
        <v>0.74668945494865036</v>
      </c>
      <c r="R61" s="318">
        <f t="shared" ref="R61:R75" si="55">2*PI()*F61*$B$19*L61/1000</f>
        <v>20.212452888020465</v>
      </c>
      <c r="S61" s="317">
        <f t="shared" ref="S61:S75" si="56">2*PI()*F61*$B$19*M61/1000</f>
        <v>12.318814652168596</v>
      </c>
      <c r="T61" s="319">
        <f t="shared" ref="T61:T75" si="57">2*PI()*F61*$B$19*N61/1000</f>
        <v>23.670581872546574</v>
      </c>
      <c r="U61" s="320">
        <f t="shared" ref="U61:U75" si="58">$B$21*2*PI()*F61*L61/1000</f>
        <v>211.35755693101706</v>
      </c>
      <c r="V61" s="317">
        <f t="shared" ref="V61:V75" si="59">O61-S61</f>
        <v>-11.68121201479382</v>
      </c>
      <c r="W61" s="317">
        <f t="shared" ref="W61:W75" si="60">P61+R61+U61</f>
        <v>231.9586073215311</v>
      </c>
      <c r="X61" s="321">
        <f t="shared" ref="X61:X75" si="61">(W61^2+V61^2)^0.5</f>
        <v>232.25254837068812</v>
      </c>
      <c r="Y61" s="321">
        <f t="shared" ref="Y61:Y75" si="62">X61*3^0.5</f>
        <v>402.27321396538008</v>
      </c>
    </row>
    <row r="62" spans="4:31">
      <c r="D62" s="324"/>
      <c r="E62" s="312">
        <f t="shared" si="47"/>
        <v>2.785371544557667</v>
      </c>
      <c r="F62" s="321">
        <f t="shared" ref="F62:F70" si="63">F$71-$H$71/120*$B$3+H62/120*$B$3</f>
        <v>83.996045495454538</v>
      </c>
      <c r="G62" s="314">
        <f t="shared" si="48"/>
        <v>3.1953933899991696E-3</v>
      </c>
      <c r="H62" s="353">
        <f t="shared" ref="H62:H70" si="64">H61+($H$71-$H$60)/11</f>
        <v>5.3509099090909089</v>
      </c>
      <c r="I62" s="316">
        <f t="shared" si="45"/>
        <v>1674.57</v>
      </c>
      <c r="J62" s="317">
        <f t="shared" si="49"/>
        <v>80.81697277556222</v>
      </c>
      <c r="K62" s="316">
        <f t="shared" si="50"/>
        <v>460.86173894028417</v>
      </c>
      <c r="L62" s="354">
        <f t="shared" si="46"/>
        <v>104.56570469483569</v>
      </c>
      <c r="M62" s="316">
        <f t="shared" si="51"/>
        <v>127.66189752419699</v>
      </c>
      <c r="N62" s="316">
        <f t="shared" si="52"/>
        <v>165.01983722512318</v>
      </c>
      <c r="O62" s="318">
        <f t="shared" si="53"/>
        <v>0.63760263737477663</v>
      </c>
      <c r="P62" s="317">
        <f t="shared" si="53"/>
        <v>0.77843460043851775</v>
      </c>
      <c r="Q62" s="319">
        <f t="shared" si="54"/>
        <v>1.0062293726318794</v>
      </c>
      <c r="R62" s="318">
        <f t="shared" si="55"/>
        <v>20.244694738454864</v>
      </c>
      <c r="S62" s="317">
        <f t="shared" si="56"/>
        <v>24.716288697635655</v>
      </c>
      <c r="T62" s="319">
        <f t="shared" si="57"/>
        <v>31.949062459454016</v>
      </c>
      <c r="U62" s="320">
        <f t="shared" si="58"/>
        <v>211.69470348005316</v>
      </c>
      <c r="V62" s="317">
        <f t="shared" si="59"/>
        <v>-24.078686060260878</v>
      </c>
      <c r="W62" s="317">
        <f t="shared" si="60"/>
        <v>232.71783281894653</v>
      </c>
      <c r="X62" s="321">
        <f t="shared" si="61"/>
        <v>233.96019497841027</v>
      </c>
      <c r="Y62" s="321">
        <f t="shared" si="62"/>
        <v>405.23094465132749</v>
      </c>
    </row>
    <row r="63" spans="4:31">
      <c r="D63" s="336"/>
      <c r="E63" s="312">
        <f t="shared" si="47"/>
        <v>2.8090234016779543</v>
      </c>
      <c r="F63" s="321">
        <f t="shared" si="63"/>
        <v>84.129818218181811</v>
      </c>
      <c r="G63" s="314">
        <f t="shared" si="48"/>
        <v>4.7930897864146395E-3</v>
      </c>
      <c r="H63" s="353">
        <f t="shared" si="64"/>
        <v>8.0263643636363629</v>
      </c>
      <c r="I63" s="316">
        <f t="shared" si="45"/>
        <v>1674.57</v>
      </c>
      <c r="J63" s="317">
        <f t="shared" si="49"/>
        <v>121.41696646056495</v>
      </c>
      <c r="K63" s="316">
        <f t="shared" si="50"/>
        <v>692.38468576727587</v>
      </c>
      <c r="L63" s="354">
        <f t="shared" si="46"/>
        <v>104.56570469483569</v>
      </c>
      <c r="M63" s="316">
        <f t="shared" si="51"/>
        <v>191.79780726029949</v>
      </c>
      <c r="N63" s="316">
        <f t="shared" si="52"/>
        <v>218.44996101667442</v>
      </c>
      <c r="O63" s="318">
        <f t="shared" si="53"/>
        <v>0.63760263737477663</v>
      </c>
      <c r="P63" s="317">
        <f t="shared" si="53"/>
        <v>1.1695114388485133</v>
      </c>
      <c r="Q63" s="319">
        <f t="shared" si="54"/>
        <v>1.3320263243587911</v>
      </c>
      <c r="R63" s="318">
        <f t="shared" si="55"/>
        <v>20.276936588889264</v>
      </c>
      <c r="S63" s="317">
        <f t="shared" si="56"/>
        <v>37.192614797126424</v>
      </c>
      <c r="T63" s="319">
        <f t="shared" si="57"/>
        <v>42.360887064334044</v>
      </c>
      <c r="U63" s="320">
        <f t="shared" si="58"/>
        <v>212.03185002908921</v>
      </c>
      <c r="V63" s="317">
        <f t="shared" si="59"/>
        <v>-36.555012159751648</v>
      </c>
      <c r="W63" s="317">
        <f t="shared" si="60"/>
        <v>233.47829805682699</v>
      </c>
      <c r="X63" s="321">
        <f t="shared" si="61"/>
        <v>236.32262815378499</v>
      </c>
      <c r="Y63" s="321">
        <f t="shared" si="62"/>
        <v>409.32279894056279</v>
      </c>
    </row>
    <row r="64" spans="4:31">
      <c r="D64" s="336"/>
      <c r="E64" s="312">
        <f t="shared" si="47"/>
        <v>2.8402876888483615</v>
      </c>
      <c r="F64" s="321">
        <f t="shared" si="63"/>
        <v>84.263590940909083</v>
      </c>
      <c r="G64" s="314">
        <f t="shared" si="48"/>
        <v>6.3907861828301103E-3</v>
      </c>
      <c r="H64" s="353">
        <f t="shared" si="64"/>
        <v>10.701818818181817</v>
      </c>
      <c r="I64" s="316">
        <f t="shared" si="45"/>
        <v>1674.57</v>
      </c>
      <c r="J64" s="317">
        <f t="shared" si="49"/>
        <v>162.1438023032662</v>
      </c>
      <c r="K64" s="316">
        <f t="shared" si="50"/>
        <v>924.63095463121374</v>
      </c>
      <c r="L64" s="354">
        <f t="shared" si="46"/>
        <v>104.56570469483569</v>
      </c>
      <c r="M64" s="316">
        <f t="shared" si="51"/>
        <v>256.13703223973363</v>
      </c>
      <c r="N64" s="316">
        <f t="shared" si="52"/>
        <v>276.65893421848125</v>
      </c>
      <c r="O64" s="318">
        <f t="shared" si="53"/>
        <v>0.63760263737477663</v>
      </c>
      <c r="P64" s="317">
        <f t="shared" si="53"/>
        <v>1.5618280177235597</v>
      </c>
      <c r="Q64" s="319">
        <f t="shared" si="54"/>
        <v>1.6869629160516764</v>
      </c>
      <c r="R64" s="318">
        <f t="shared" si="55"/>
        <v>20.309178439323663</v>
      </c>
      <c r="S64" s="317">
        <f t="shared" si="56"/>
        <v>49.747981021663428</v>
      </c>
      <c r="T64" s="319">
        <f t="shared" si="57"/>
        <v>53.7338286800045</v>
      </c>
      <c r="U64" s="320">
        <f t="shared" si="58"/>
        <v>212.36899657812529</v>
      </c>
      <c r="V64" s="317">
        <f t="shared" si="59"/>
        <v>-49.110378384288651</v>
      </c>
      <c r="W64" s="317">
        <f t="shared" si="60"/>
        <v>234.24000303517252</v>
      </c>
      <c r="X64" s="321">
        <f t="shared" si="61"/>
        <v>239.33283996761838</v>
      </c>
      <c r="Y64" s="321">
        <f t="shared" si="62"/>
        <v>414.53663874366629</v>
      </c>
    </row>
    <row r="65" spans="4:25">
      <c r="D65" s="336"/>
      <c r="E65" s="312">
        <f t="shared" si="47"/>
        <v>2.8789888297268593</v>
      </c>
      <c r="F65" s="321">
        <f t="shared" si="63"/>
        <v>84.397363663636355</v>
      </c>
      <c r="G65" s="314">
        <f t="shared" si="48"/>
        <v>7.9884825792455802E-3</v>
      </c>
      <c r="H65" s="353">
        <f t="shared" si="64"/>
        <v>13.377273272727271</v>
      </c>
      <c r="I65" s="316">
        <f t="shared" si="45"/>
        <v>1674.57</v>
      </c>
      <c r="J65" s="317">
        <f t="shared" si="49"/>
        <v>202.99684958118453</v>
      </c>
      <c r="K65" s="316">
        <f t="shared" si="50"/>
        <v>1157.5969488141122</v>
      </c>
      <c r="L65" s="354">
        <f t="shared" si="46"/>
        <v>104.56570469483569</v>
      </c>
      <c r="M65" s="316">
        <f t="shared" si="51"/>
        <v>320.67957246249921</v>
      </c>
      <c r="N65" s="316">
        <f t="shared" si="52"/>
        <v>337.2971609620497</v>
      </c>
      <c r="O65" s="318">
        <f t="shared" si="53"/>
        <v>0.63760263737477663</v>
      </c>
      <c r="P65" s="317">
        <f t="shared" si="53"/>
        <v>1.9553843370636559</v>
      </c>
      <c r="Q65" s="319">
        <f t="shared" si="54"/>
        <v>2.05671218910696</v>
      </c>
      <c r="R65" s="318">
        <f t="shared" si="55"/>
        <v>20.341420289758066</v>
      </c>
      <c r="S65" s="317">
        <f t="shared" si="56"/>
        <v>62.382575442269136</v>
      </c>
      <c r="T65" s="319">
        <f t="shared" si="57"/>
        <v>65.615235259922542</v>
      </c>
      <c r="U65" s="320">
        <f t="shared" si="58"/>
        <v>212.70614312716134</v>
      </c>
      <c r="V65" s="317">
        <f t="shared" si="59"/>
        <v>-61.74497280489436</v>
      </c>
      <c r="W65" s="317">
        <f t="shared" si="60"/>
        <v>235.00294775398305</v>
      </c>
      <c r="X65" s="321">
        <f t="shared" si="61"/>
        <v>242.9790672460046</v>
      </c>
      <c r="Y65" s="321">
        <f t="shared" si="62"/>
        <v>420.85208964577481</v>
      </c>
    </row>
    <row r="66" spans="4:25">
      <c r="D66" s="336"/>
      <c r="E66" s="312">
        <f t="shared" si="47"/>
        <v>2.9249031360705415</v>
      </c>
      <c r="F66" s="321">
        <f t="shared" si="63"/>
        <v>84.531136386363627</v>
      </c>
      <c r="G66" s="314">
        <f t="shared" si="48"/>
        <v>9.586178975661051E-3</v>
      </c>
      <c r="H66" s="353">
        <f t="shared" si="64"/>
        <v>16.052727727272725</v>
      </c>
      <c r="I66" s="316">
        <f t="shared" si="45"/>
        <v>1674.57</v>
      </c>
      <c r="J66" s="317">
        <f t="shared" si="49"/>
        <v>243.97547362921463</v>
      </c>
      <c r="K66" s="316">
        <f t="shared" si="50"/>
        <v>1391.2790491150279</v>
      </c>
      <c r="L66" s="354">
        <f t="shared" si="46"/>
        <v>104.56570469483569</v>
      </c>
      <c r="M66" s="316">
        <f t="shared" si="51"/>
        <v>385.42542792859638</v>
      </c>
      <c r="N66" s="316">
        <f t="shared" si="52"/>
        <v>399.35791852956817</v>
      </c>
      <c r="O66" s="318">
        <f t="shared" si="53"/>
        <v>0.63760263737477663</v>
      </c>
      <c r="P66" s="317">
        <f t="shared" si="53"/>
        <v>2.3501803968688022</v>
      </c>
      <c r="Q66" s="319">
        <f t="shared" si="54"/>
        <v>2.4351355241574693</v>
      </c>
      <c r="R66" s="318">
        <f t="shared" si="55"/>
        <v>20.373662140192469</v>
      </c>
      <c r="S66" s="317">
        <f t="shared" si="56"/>
        <v>75.096586129966056</v>
      </c>
      <c r="T66" s="319">
        <f t="shared" si="57"/>
        <v>77.811203289617126</v>
      </c>
      <c r="U66" s="320">
        <f t="shared" si="58"/>
        <v>213.04328967619742</v>
      </c>
      <c r="V66" s="317">
        <f t="shared" si="59"/>
        <v>-74.458983492591273</v>
      </c>
      <c r="W66" s="317">
        <f t="shared" si="60"/>
        <v>235.76713221325869</v>
      </c>
      <c r="X66" s="321">
        <f t="shared" si="61"/>
        <v>247.24538591208164</v>
      </c>
      <c r="Y66" s="321">
        <f t="shared" si="62"/>
        <v>428.24157033669968</v>
      </c>
    </row>
    <row r="67" spans="4:25">
      <c r="D67" s="336"/>
      <c r="E67" s="312">
        <f t="shared" si="47"/>
        <v>2.9777674186630843</v>
      </c>
      <c r="F67" s="321">
        <f t="shared" si="63"/>
        <v>84.6649091090909</v>
      </c>
      <c r="G67" s="314">
        <f t="shared" si="48"/>
        <v>1.1183875372076522E-2</v>
      </c>
      <c r="H67" s="353">
        <f t="shared" si="64"/>
        <v>18.72818218181818</v>
      </c>
      <c r="I67" s="316">
        <f t="shared" si="45"/>
        <v>1674.57</v>
      </c>
      <c r="J67" s="317">
        <f t="shared" si="49"/>
        <v>285.07903583962633</v>
      </c>
      <c r="K67" s="316">
        <f t="shared" si="50"/>
        <v>1625.6736138500553</v>
      </c>
      <c r="L67" s="354">
        <f t="shared" si="46"/>
        <v>104.56570469483569</v>
      </c>
      <c r="M67" s="316">
        <f t="shared" si="51"/>
        <v>450.37459863802513</v>
      </c>
      <c r="N67" s="316">
        <f t="shared" si="52"/>
        <v>462.35404799427226</v>
      </c>
      <c r="O67" s="318">
        <f t="shared" si="53"/>
        <v>0.63760263737477663</v>
      </c>
      <c r="P67" s="317">
        <f t="shared" si="53"/>
        <v>2.7462161971389998</v>
      </c>
      <c r="Q67" s="319">
        <f t="shared" si="54"/>
        <v>2.8192624079031487</v>
      </c>
      <c r="R67" s="318">
        <f t="shared" si="55"/>
        <v>20.405903990626872</v>
      </c>
      <c r="S67" s="317">
        <f t="shared" si="56"/>
        <v>87.890201155776694</v>
      </c>
      <c r="T67" s="319">
        <f t="shared" si="57"/>
        <v>90.227980011067373</v>
      </c>
      <c r="U67" s="320">
        <f t="shared" si="58"/>
        <v>213.38043622523352</v>
      </c>
      <c r="V67" s="317">
        <f t="shared" si="59"/>
        <v>-87.252598518401911</v>
      </c>
      <c r="W67" s="317">
        <f t="shared" si="60"/>
        <v>236.53255641299938</v>
      </c>
      <c r="X67" s="321">
        <f t="shared" si="61"/>
        <v>252.11240784912226</v>
      </c>
      <c r="Y67" s="321">
        <f t="shared" si="62"/>
        <v>436.67149961320632</v>
      </c>
    </row>
    <row r="68" spans="4:25">
      <c r="D68" s="336"/>
      <c r="E68" s="312">
        <f t="shared" si="47"/>
        <v>3.0372880922429846</v>
      </c>
      <c r="F68" s="321">
        <f t="shared" si="63"/>
        <v>84.798681831818172</v>
      </c>
      <c r="G68" s="314">
        <f t="shared" si="48"/>
        <v>1.2781571768491993E-2</v>
      </c>
      <c r="H68" s="353">
        <f t="shared" si="64"/>
        <v>21.403636636363636</v>
      </c>
      <c r="I68" s="316">
        <f t="shared" si="45"/>
        <v>1674.57</v>
      </c>
      <c r="J68" s="317">
        <f t="shared" si="49"/>
        <v>326.30689366206491</v>
      </c>
      <c r="K68" s="316">
        <f t="shared" si="50"/>
        <v>1860.7769788523294</v>
      </c>
      <c r="L68" s="354">
        <f t="shared" si="46"/>
        <v>104.56570469483569</v>
      </c>
      <c r="M68" s="316">
        <f t="shared" si="51"/>
        <v>515.52708459078531</v>
      </c>
      <c r="N68" s="316">
        <f t="shared" si="52"/>
        <v>526.02486780094557</v>
      </c>
      <c r="O68" s="318">
        <f t="shared" si="53"/>
        <v>0.63760263737477663</v>
      </c>
      <c r="P68" s="317">
        <f t="shared" si="53"/>
        <v>3.1434917378742466</v>
      </c>
      <c r="Q68" s="319">
        <f t="shared" si="54"/>
        <v>3.2075033015214371</v>
      </c>
      <c r="R68" s="318">
        <f t="shared" si="55"/>
        <v>20.438145841061264</v>
      </c>
      <c r="S68" s="317">
        <f t="shared" si="56"/>
        <v>100.76360859072346</v>
      </c>
      <c r="T68" s="319">
        <f t="shared" si="57"/>
        <v>102.81547851196827</v>
      </c>
      <c r="U68" s="320">
        <f t="shared" si="58"/>
        <v>213.71758277426957</v>
      </c>
      <c r="V68" s="317">
        <f t="shared" si="59"/>
        <v>-100.12600595334868</v>
      </c>
      <c r="W68" s="317">
        <f t="shared" si="60"/>
        <v>237.29922035320507</v>
      </c>
      <c r="X68" s="321">
        <f t="shared" si="61"/>
        <v>257.55802656568284</v>
      </c>
      <c r="Y68" s="321">
        <f t="shared" si="62"/>
        <v>446.1035879089373</v>
      </c>
    </row>
    <row r="69" spans="4:25">
      <c r="D69" s="336"/>
      <c r="E69" s="312">
        <f t="shared" si="47"/>
        <v>3.1031501866341205</v>
      </c>
      <c r="F69" s="321">
        <f t="shared" si="63"/>
        <v>84.932454554545458</v>
      </c>
      <c r="G69" s="314">
        <f t="shared" si="48"/>
        <v>1.4379268164907465E-2</v>
      </c>
      <c r="H69" s="353">
        <f t="shared" si="64"/>
        <v>24.079091090909092</v>
      </c>
      <c r="I69" s="316">
        <f t="shared" si="45"/>
        <v>1674.57</v>
      </c>
      <c r="J69" s="317">
        <f t="shared" si="49"/>
        <v>367.65840060355168</v>
      </c>
      <c r="K69" s="316">
        <f t="shared" si="50"/>
        <v>2096.585457472027</v>
      </c>
      <c r="L69" s="354">
        <f t="shared" si="46"/>
        <v>104.56570469483569</v>
      </c>
      <c r="M69" s="316">
        <f t="shared" si="51"/>
        <v>580.8828857868773</v>
      </c>
      <c r="N69" s="316">
        <f t="shared" si="52"/>
        <v>590.2193775185782</v>
      </c>
      <c r="O69" s="318">
        <f t="shared" si="53"/>
        <v>0.63760263737477663</v>
      </c>
      <c r="P69" s="317">
        <f t="shared" si="53"/>
        <v>3.542007019074545</v>
      </c>
      <c r="Q69" s="319">
        <f t="shared" si="54"/>
        <v>3.5989374607459652</v>
      </c>
      <c r="R69" s="318">
        <f t="shared" si="55"/>
        <v>20.470387691495674</v>
      </c>
      <c r="S69" s="317">
        <f t="shared" si="56"/>
        <v>113.71699650582904</v>
      </c>
      <c r="T69" s="319">
        <f t="shared" si="57"/>
        <v>115.54476217703194</v>
      </c>
      <c r="U69" s="320">
        <f t="shared" si="58"/>
        <v>214.05472932330568</v>
      </c>
      <c r="V69" s="317">
        <f t="shared" si="59"/>
        <v>-113.07939386845426</v>
      </c>
      <c r="W69" s="317">
        <f t="shared" si="60"/>
        <v>238.0671240338759</v>
      </c>
      <c r="X69" s="321">
        <f t="shared" si="61"/>
        <v>263.5581622022317</v>
      </c>
      <c r="Y69" s="321">
        <f t="shared" si="62"/>
        <v>456.49612768374453</v>
      </c>
    </row>
    <row r="70" spans="4:25">
      <c r="E70" s="312">
        <f t="shared" si="47"/>
        <v>3.1750257876836567</v>
      </c>
      <c r="F70" s="321">
        <f t="shared" si="63"/>
        <v>85.066227277272731</v>
      </c>
      <c r="G70" s="314">
        <f t="shared" si="48"/>
        <v>1.5976964561322936E-2</v>
      </c>
      <c r="H70" s="353">
        <f t="shared" si="64"/>
        <v>26.754545545454548</v>
      </c>
      <c r="I70" s="316">
        <f>I71</f>
        <v>1674.57</v>
      </c>
      <c r="J70" s="317">
        <f t="shared" si="49"/>
        <v>409.13290622848263</v>
      </c>
      <c r="K70" s="316">
        <f t="shared" si="50"/>
        <v>2333.0953405763594</v>
      </c>
      <c r="L70" s="354">
        <f>L71</f>
        <v>104.56570469483569</v>
      </c>
      <c r="M70" s="316">
        <f t="shared" si="51"/>
        <v>646.4420022263007</v>
      </c>
      <c r="N70" s="316">
        <f t="shared" si="52"/>
        <v>654.84444629291636</v>
      </c>
      <c r="O70" s="318">
        <f t="shared" si="53"/>
        <v>0.63760263737477663</v>
      </c>
      <c r="P70" s="317">
        <f t="shared" si="53"/>
        <v>3.941762040739893</v>
      </c>
      <c r="Q70" s="319">
        <f t="shared" si="54"/>
        <v>3.9929970083892128</v>
      </c>
      <c r="R70" s="318">
        <f t="shared" si="55"/>
        <v>20.502629541930077</v>
      </c>
      <c r="S70" s="317">
        <f t="shared" si="56"/>
        <v>126.75055297211573</v>
      </c>
      <c r="T70" s="319">
        <f t="shared" si="57"/>
        <v>128.39805487962323</v>
      </c>
      <c r="U70" s="320">
        <f t="shared" si="58"/>
        <v>214.39187587234176</v>
      </c>
      <c r="V70" s="317">
        <f t="shared" si="59"/>
        <v>-126.11295033474094</v>
      </c>
      <c r="W70" s="317">
        <f t="shared" si="60"/>
        <v>238.83626745501172</v>
      </c>
      <c r="X70" s="321">
        <f t="shared" si="61"/>
        <v>270.08746526629983</v>
      </c>
      <c r="Y70" s="321">
        <f t="shared" si="62"/>
        <v>467.8052123287257</v>
      </c>
    </row>
    <row r="71" spans="4:25">
      <c r="D71" s="324" t="s">
        <v>212</v>
      </c>
      <c r="E71" s="325">
        <f t="shared" si="47"/>
        <v>3.2525815691779263</v>
      </c>
      <c r="F71" s="334">
        <f>F49</f>
        <v>85.2</v>
      </c>
      <c r="G71" s="327">
        <f t="shared" si="48"/>
        <v>1.7574660957738405E-2</v>
      </c>
      <c r="H71" s="355">
        <f>H49</f>
        <v>29.43</v>
      </c>
      <c r="I71" s="329">
        <f>F71*120/$B$3-H71</f>
        <v>1674.57</v>
      </c>
      <c r="J71" s="330">
        <f t="shared" si="49"/>
        <v>450.72975615862964</v>
      </c>
      <c r="K71" s="329">
        <f t="shared" si="50"/>
        <v>2570.3028965495828</v>
      </c>
      <c r="L71" s="356">
        <f>L49</f>
        <v>104.56570469483569</v>
      </c>
      <c r="M71" s="329">
        <f t="shared" si="51"/>
        <v>712.20443390905541</v>
      </c>
      <c r="N71" s="329">
        <f t="shared" si="52"/>
        <v>719.83966428507233</v>
      </c>
      <c r="O71" s="331">
        <f t="shared" si="53"/>
        <v>0.63760263737477663</v>
      </c>
      <c r="P71" s="330">
        <f t="shared" si="53"/>
        <v>4.3427568028702899</v>
      </c>
      <c r="Q71" s="332">
        <f t="shared" si="54"/>
        <v>4.3893135878020209</v>
      </c>
      <c r="R71" s="331">
        <f t="shared" si="55"/>
        <v>20.534871392364479</v>
      </c>
      <c r="S71" s="330">
        <f t="shared" si="56"/>
        <v>139.86446606060605</v>
      </c>
      <c r="T71" s="332">
        <f t="shared" si="57"/>
        <v>141.36389146284623</v>
      </c>
      <c r="U71" s="333">
        <f t="shared" si="58"/>
        <v>214.72902242137783</v>
      </c>
      <c r="V71" s="330">
        <f t="shared" si="59"/>
        <v>-139.22686342323126</v>
      </c>
      <c r="W71" s="330">
        <f t="shared" si="60"/>
        <v>239.6066506166126</v>
      </c>
      <c r="X71" s="334">
        <f t="shared" si="61"/>
        <v>277.11994969395931</v>
      </c>
      <c r="Y71" s="334">
        <f t="shared" si="62"/>
        <v>479.98583266086882</v>
      </c>
    </row>
    <row r="72" spans="4:25">
      <c r="E72" s="325">
        <f t="shared" si="47"/>
        <v>3.2524304146969034</v>
      </c>
      <c r="F72" s="334">
        <f>F71</f>
        <v>85.2</v>
      </c>
      <c r="G72" s="327">
        <f t="shared" si="48"/>
        <v>2.0560502099046325E-2</v>
      </c>
      <c r="H72" s="355">
        <f>H71+5</f>
        <v>34.43</v>
      </c>
      <c r="I72" s="329">
        <f>I71</f>
        <v>1674.57</v>
      </c>
      <c r="J72" s="330">
        <f t="shared" si="49"/>
        <v>478.6846610159206</v>
      </c>
      <c r="K72" s="329">
        <f t="shared" si="50"/>
        <v>2729.7167624985059</v>
      </c>
      <c r="L72" s="357">
        <v>99.78</v>
      </c>
      <c r="M72" s="329">
        <f t="shared" si="51"/>
        <v>795.0705454485153</v>
      </c>
      <c r="N72" s="329">
        <f t="shared" si="52"/>
        <v>801.307194925766</v>
      </c>
      <c r="O72" s="331">
        <f t="shared" si="53"/>
        <v>0.60842119644221448</v>
      </c>
      <c r="P72" s="330">
        <f t="shared" si="53"/>
        <v>4.8480434207030436</v>
      </c>
      <c r="Q72" s="332">
        <f t="shared" si="54"/>
        <v>4.8860721813438497</v>
      </c>
      <c r="R72" s="331">
        <f t="shared" si="55"/>
        <v>19.595042882461659</v>
      </c>
      <c r="S72" s="330">
        <f t="shared" si="56"/>
        <v>156.13791774549847</v>
      </c>
      <c r="T72" s="332">
        <f t="shared" si="57"/>
        <v>157.36268637598164</v>
      </c>
      <c r="U72" s="333">
        <f t="shared" si="58"/>
        <v>204.90142460889717</v>
      </c>
      <c r="V72" s="330">
        <f t="shared" si="59"/>
        <v>-155.52949654905626</v>
      </c>
      <c r="W72" s="330">
        <f t="shared" si="60"/>
        <v>229.34451091206188</v>
      </c>
      <c r="X72" s="334">
        <f t="shared" si="61"/>
        <v>277.10707133217619</v>
      </c>
      <c r="Y72" s="334">
        <f t="shared" si="62"/>
        <v>479.96352668394223</v>
      </c>
    </row>
    <row r="73" spans="4:25">
      <c r="E73" s="325">
        <f t="shared" si="47"/>
        <v>3.252862259436816</v>
      </c>
      <c r="F73" s="334">
        <f>F72</f>
        <v>85.2</v>
      </c>
      <c r="G73" s="327">
        <f t="shared" si="48"/>
        <v>2.3546343240354241E-2</v>
      </c>
      <c r="H73" s="355">
        <f>H72+5</f>
        <v>39.43</v>
      </c>
      <c r="I73" s="329">
        <f>I72</f>
        <v>1674.57</v>
      </c>
      <c r="J73" s="330">
        <f t="shared" si="49"/>
        <v>495.73290542354943</v>
      </c>
      <c r="K73" s="329">
        <f t="shared" si="50"/>
        <v>2826.9349988880113</v>
      </c>
      <c r="L73" s="357">
        <v>95.03</v>
      </c>
      <c r="M73" s="329">
        <f t="shared" si="51"/>
        <v>867.18678030864294</v>
      </c>
      <c r="N73" s="329">
        <f t="shared" si="52"/>
        <v>872.3781363847163</v>
      </c>
      <c r="O73" s="331">
        <f t="shared" si="53"/>
        <v>0.57945746941174225</v>
      </c>
      <c r="P73" s="330">
        <f t="shared" si="53"/>
        <v>5.2877813030091838</v>
      </c>
      <c r="Q73" s="332">
        <f t="shared" si="54"/>
        <v>5.3194362546524196</v>
      </c>
      <c r="R73" s="331">
        <f t="shared" si="55"/>
        <v>18.662226148730522</v>
      </c>
      <c r="S73" s="330">
        <f t="shared" si="56"/>
        <v>170.30028209312201</v>
      </c>
      <c r="T73" s="332">
        <f t="shared" si="57"/>
        <v>171.31977342333636</v>
      </c>
      <c r="U73" s="333">
        <f t="shared" si="58"/>
        <v>195.1471475304019</v>
      </c>
      <c r="V73" s="330">
        <f t="shared" si="59"/>
        <v>-169.72082462371026</v>
      </c>
      <c r="W73" s="330">
        <f t="shared" si="60"/>
        <v>219.0971549821416</v>
      </c>
      <c r="X73" s="334">
        <f t="shared" si="61"/>
        <v>277.14386450401673</v>
      </c>
      <c r="Y73" s="334">
        <f t="shared" si="62"/>
        <v>480.02725432694166</v>
      </c>
    </row>
    <row r="74" spans="4:25">
      <c r="E74" s="312">
        <f t="shared" si="47"/>
        <v>0.14118786796550842</v>
      </c>
      <c r="F74" s="321">
        <f>F73</f>
        <v>85.2</v>
      </c>
      <c r="G74" s="314">
        <f t="shared" si="48"/>
        <v>2.9518025522970077E-2</v>
      </c>
      <c r="H74" s="353">
        <f>H73+10</f>
        <v>49.43</v>
      </c>
      <c r="I74" s="316">
        <f>I73</f>
        <v>1674.57</v>
      </c>
      <c r="J74" s="317">
        <f t="shared" si="49"/>
        <v>0.95157631280408872</v>
      </c>
      <c r="K74" s="316">
        <f t="shared" si="50"/>
        <v>5.4263986782970086</v>
      </c>
      <c r="L74" s="358">
        <v>3.73</v>
      </c>
      <c r="M74" s="316">
        <f t="shared" si="51"/>
        <v>42.67019078320547</v>
      </c>
      <c r="N74" s="316">
        <f t="shared" si="52"/>
        <v>42.832908860771447</v>
      </c>
      <c r="O74" s="318">
        <f t="shared" si="53"/>
        <v>2.2744147752349769E-2</v>
      </c>
      <c r="P74" s="317">
        <f t="shared" si="53"/>
        <v>0.26018689645956528</v>
      </c>
      <c r="Q74" s="319">
        <f t="shared" si="54"/>
        <v>0.26117909056094302</v>
      </c>
      <c r="R74" s="318">
        <f t="shared" si="55"/>
        <v>0.73250661406676665</v>
      </c>
      <c r="S74" s="317">
        <f t="shared" si="56"/>
        <v>8.3796774724366756</v>
      </c>
      <c r="T74" s="319">
        <f t="shared" si="57"/>
        <v>8.4116324504649072</v>
      </c>
      <c r="U74" s="320">
        <f t="shared" si="58"/>
        <v>7.6596744216394708</v>
      </c>
      <c r="V74" s="317">
        <f t="shared" si="59"/>
        <v>-8.3569333246843254</v>
      </c>
      <c r="W74" s="317">
        <f t="shared" si="60"/>
        <v>8.6523679321658022</v>
      </c>
      <c r="X74" s="321">
        <f t="shared" si="61"/>
        <v>12.029206350661317</v>
      </c>
      <c r="Y74" s="321">
        <f t="shared" si="62"/>
        <v>20.835196574075599</v>
      </c>
    </row>
    <row r="75" spans="4:25" ht="15.75" thickBot="1">
      <c r="E75" s="312">
        <f t="shared" si="47"/>
        <v>0.1548187591155547</v>
      </c>
      <c r="F75" s="321">
        <f>F74</f>
        <v>85.2</v>
      </c>
      <c r="G75" s="314">
        <f t="shared" si="48"/>
        <v>3.5489707805585913E-2</v>
      </c>
      <c r="H75" s="317">
        <f>H74+10</f>
        <v>59.43</v>
      </c>
      <c r="I75" s="316">
        <f>I74</f>
        <v>1674.57</v>
      </c>
      <c r="J75" s="317">
        <f t="shared" si="49"/>
        <v>1.1188295290792953</v>
      </c>
      <c r="K75" s="316">
        <f t="shared" si="50"/>
        <v>6.380166252714929</v>
      </c>
      <c r="L75" s="340">
        <v>3.7</v>
      </c>
      <c r="M75" s="316">
        <f t="shared" si="51"/>
        <v>50.890017087612925</v>
      </c>
      <c r="N75" s="316">
        <f t="shared" si="52"/>
        <v>51.024345553642682</v>
      </c>
      <c r="O75" s="318">
        <f t="shared" si="53"/>
        <v>2.2561218950052052E-2</v>
      </c>
      <c r="P75" s="317">
        <f t="shared" si="53"/>
        <v>0.31030832915825013</v>
      </c>
      <c r="Q75" s="319">
        <f t="shared" si="54"/>
        <v>0.31112741400509392</v>
      </c>
      <c r="R75" s="318">
        <f t="shared" si="55"/>
        <v>0.72661513995899107</v>
      </c>
      <c r="S75" s="317">
        <f t="shared" si="56"/>
        <v>9.9939072671976525</v>
      </c>
      <c r="T75" s="319">
        <f t="shared" si="57"/>
        <v>10.020287023182703</v>
      </c>
      <c r="U75" s="359">
        <f t="shared" si="58"/>
        <v>7.5980684611437121</v>
      </c>
      <c r="V75" s="317">
        <f t="shared" si="59"/>
        <v>-9.9713460482476002</v>
      </c>
      <c r="W75" s="317">
        <f t="shared" si="60"/>
        <v>8.6349919302609539</v>
      </c>
      <c r="X75" s="321">
        <f t="shared" si="61"/>
        <v>13.190558276645262</v>
      </c>
      <c r="Y75" s="321">
        <f t="shared" si="62"/>
        <v>22.846717115347765</v>
      </c>
    </row>
    <row r="76" spans="4:25">
      <c r="E76" s="312"/>
      <c r="F76" s="313"/>
      <c r="G76" s="314"/>
      <c r="H76" s="317"/>
      <c r="I76" s="316"/>
      <c r="J76" s="317"/>
      <c r="K76" s="316"/>
      <c r="L76" s="340"/>
      <c r="M76" s="316"/>
      <c r="N76" s="316"/>
      <c r="O76" s="318"/>
      <c r="P76" s="317"/>
      <c r="Q76" s="319"/>
      <c r="R76" s="318"/>
      <c r="S76" s="317"/>
      <c r="T76" s="319"/>
      <c r="U76" s="320"/>
      <c r="V76" s="317"/>
      <c r="W76" s="317"/>
      <c r="X76" s="321"/>
      <c r="Y76" s="321"/>
    </row>
    <row r="77" spans="4:25">
      <c r="E77" s="312"/>
      <c r="F77" s="313"/>
      <c r="G77" s="314"/>
      <c r="H77" s="317"/>
      <c r="I77" s="316"/>
      <c r="J77" s="317"/>
      <c r="K77" s="316"/>
      <c r="L77" s="340"/>
      <c r="M77" s="316"/>
      <c r="N77" s="316"/>
      <c r="O77" s="318"/>
      <c r="P77" s="317"/>
      <c r="Q77" s="319"/>
      <c r="R77" s="318"/>
      <c r="S77" s="317"/>
      <c r="T77" s="319"/>
      <c r="U77" s="320"/>
      <c r="V77" s="317"/>
      <c r="W77" s="317"/>
      <c r="X77" s="321"/>
      <c r="Y77" s="321"/>
    </row>
    <row r="78" spans="4:25">
      <c r="E78" s="312"/>
      <c r="F78" s="313"/>
      <c r="G78" s="314"/>
      <c r="H78" s="317"/>
      <c r="I78" s="316"/>
      <c r="J78" s="317"/>
      <c r="K78" s="316"/>
      <c r="L78" s="340"/>
      <c r="M78" s="316"/>
      <c r="N78" s="316"/>
      <c r="O78" s="318"/>
      <c r="P78" s="317"/>
      <c r="Q78" s="319"/>
      <c r="R78" s="318"/>
      <c r="S78" s="317"/>
      <c r="T78" s="319"/>
      <c r="U78" s="320"/>
      <c r="V78" s="317"/>
      <c r="W78" s="317"/>
      <c r="X78" s="321"/>
      <c r="Y78" s="321"/>
    </row>
    <row r="79" spans="4:25">
      <c r="E79" s="312"/>
      <c r="F79" s="313"/>
      <c r="G79" s="314"/>
      <c r="H79" s="317"/>
      <c r="I79" s="316"/>
      <c r="J79" s="317"/>
      <c r="K79" s="316"/>
      <c r="L79" s="340"/>
      <c r="M79" s="316"/>
      <c r="N79" s="316"/>
      <c r="O79" s="318"/>
      <c r="P79" s="317"/>
      <c r="Q79" s="319"/>
      <c r="R79" s="318"/>
      <c r="S79" s="317"/>
      <c r="T79" s="319"/>
      <c r="U79" s="320"/>
      <c r="V79" s="317"/>
      <c r="W79" s="317"/>
      <c r="X79" s="321"/>
      <c r="Y79" s="321"/>
    </row>
    <row r="80" spans="4:25">
      <c r="E80" s="312"/>
      <c r="F80" s="313"/>
      <c r="G80" s="314"/>
      <c r="H80" s="317"/>
      <c r="I80" s="316"/>
      <c r="J80" s="317"/>
      <c r="K80" s="316"/>
      <c r="L80" s="340"/>
      <c r="M80" s="316"/>
      <c r="N80" s="316"/>
      <c r="O80" s="318"/>
      <c r="P80" s="317"/>
      <c r="Q80" s="319"/>
      <c r="R80" s="318"/>
      <c r="S80" s="317"/>
      <c r="T80" s="319"/>
      <c r="U80" s="320"/>
      <c r="V80" s="317"/>
      <c r="W80" s="317"/>
      <c r="X80" s="321"/>
      <c r="Y80" s="321"/>
    </row>
    <row r="81" spans="5:25">
      <c r="E81" s="312"/>
      <c r="F81" s="313"/>
      <c r="G81" s="314"/>
      <c r="H81" s="317"/>
      <c r="I81" s="316"/>
      <c r="J81" s="317"/>
      <c r="K81" s="316"/>
      <c r="L81" s="340"/>
      <c r="M81" s="316"/>
      <c r="N81" s="316"/>
      <c r="O81" s="318"/>
      <c r="P81" s="317"/>
      <c r="Q81" s="319"/>
      <c r="R81" s="318"/>
      <c r="S81" s="317"/>
      <c r="T81" s="319"/>
      <c r="U81" s="320"/>
      <c r="V81" s="317"/>
      <c r="W81" s="317"/>
      <c r="X81" s="321"/>
      <c r="Y81" s="321"/>
    </row>
    <row r="82" spans="5:25" ht="15.75" thickBot="1">
      <c r="E82" s="298" t="s">
        <v>218</v>
      </c>
    </row>
    <row r="83" spans="5:25">
      <c r="E83" s="307" t="s">
        <v>187</v>
      </c>
      <c r="F83" s="300" t="s">
        <v>188</v>
      </c>
      <c r="G83" s="300" t="s">
        <v>189</v>
      </c>
      <c r="H83" s="300" t="s">
        <v>158</v>
      </c>
      <c r="I83" s="300" t="s">
        <v>82</v>
      </c>
      <c r="J83" s="300" t="s">
        <v>190</v>
      </c>
      <c r="K83" s="300" t="s">
        <v>191</v>
      </c>
      <c r="L83" s="300" t="s">
        <v>192</v>
      </c>
      <c r="M83" s="300" t="s">
        <v>193</v>
      </c>
      <c r="N83" s="300" t="s">
        <v>194</v>
      </c>
      <c r="O83" s="308" t="s">
        <v>195</v>
      </c>
      <c r="P83" s="309" t="s">
        <v>196</v>
      </c>
      <c r="Q83" s="310" t="s">
        <v>197</v>
      </c>
      <c r="R83" s="308" t="s">
        <v>198</v>
      </c>
      <c r="S83" s="309" t="s">
        <v>199</v>
      </c>
      <c r="T83" s="309" t="s">
        <v>200</v>
      </c>
      <c r="U83" s="311" t="s">
        <v>160</v>
      </c>
      <c r="V83" s="300" t="s">
        <v>201</v>
      </c>
      <c r="W83" s="300" t="s">
        <v>202</v>
      </c>
      <c r="X83" s="300" t="s">
        <v>203</v>
      </c>
      <c r="Y83" s="300" t="s">
        <v>204</v>
      </c>
    </row>
    <row r="84" spans="5:25">
      <c r="E84" s="325">
        <f t="shared" ref="E84:E91" si="65">X84/F84</f>
        <v>7.0323781677049757</v>
      </c>
      <c r="F84" s="334">
        <f>F5</f>
        <v>34</v>
      </c>
      <c r="G84" s="327">
        <f>H84/I84</f>
        <v>1.8744906275468536E-2</v>
      </c>
      <c r="H84" s="330">
        <f>H5</f>
        <v>12.511999999999944</v>
      </c>
      <c r="I84" s="329">
        <f>F84*120/$B$3-H84</f>
        <v>667.48800000000006</v>
      </c>
      <c r="J84" s="330">
        <f>J5</f>
        <v>450.70795798229551</v>
      </c>
      <c r="K84" s="329">
        <f>J84/I84*1000*30/PI()</f>
        <v>6447.9720447771278</v>
      </c>
      <c r="L84" s="330">
        <f>L5</f>
        <v>253.86340501447495</v>
      </c>
      <c r="M84" s="329">
        <f>M5</f>
        <v>735.95480644765291</v>
      </c>
      <c r="N84" s="329">
        <f>(L84^2+M84^2)^0.5</f>
        <v>778.50889881808394</v>
      </c>
      <c r="O84" s="331">
        <f>$B$16*L84/1000</f>
        <v>1.5479642875506245</v>
      </c>
      <c r="P84" s="360">
        <f>$B$16*M84/1000</f>
        <v>4.4875777096239666</v>
      </c>
      <c r="Q84" s="332">
        <f>N84*$B$16/1000</f>
        <v>4.7470566812969484</v>
      </c>
      <c r="R84" s="331">
        <f>2*PI()*F84*$B$19*L84/1000</f>
        <v>19.894917463557913</v>
      </c>
      <c r="S84" s="330">
        <f>2*PI()*F84*$B$19*M84/1000</f>
        <v>57.675741528598586</v>
      </c>
      <c r="T84" s="330">
        <f>2*PI()*F84*$B$19*N84/1000</f>
        <v>61.010645806740101</v>
      </c>
      <c r="U84" s="333">
        <f>$B$21*2*PI()*F84*L84/1000</f>
        <v>208.03715282542561</v>
      </c>
      <c r="V84" s="330">
        <f>O84-S84</f>
        <v>-56.127777241047959</v>
      </c>
      <c r="W84" s="330">
        <f>P84+R84+U84</f>
        <v>232.4196479986075</v>
      </c>
      <c r="X84" s="334">
        <f>(W84^2+V84^2)^0.5</f>
        <v>239.10085770196918</v>
      </c>
      <c r="Y84" s="334">
        <f>X84*3^0.5</f>
        <v>414.13483367310693</v>
      </c>
    </row>
    <row r="85" spans="5:25">
      <c r="E85" s="312">
        <f t="shared" si="65"/>
        <v>5.8977804640866145</v>
      </c>
      <c r="F85" s="313">
        <f t="shared" ref="F85:F90" si="66">IF(F84*1.2&gt;$F$92,$F$92,F84*1.2)</f>
        <v>40.799999999999997</v>
      </c>
      <c r="G85" s="314">
        <f>H85/I85</f>
        <v>1.8744906275468536E-2</v>
      </c>
      <c r="H85" s="317">
        <f>H84*F85/F84</f>
        <v>15.014399999999931</v>
      </c>
      <c r="I85" s="316">
        <f t="shared" ref="I85:I92" si="67">F85*120/$B$3-H85</f>
        <v>800.98560000000009</v>
      </c>
      <c r="J85" s="317">
        <f t="shared" ref="J85:J91" si="68">J84</f>
        <v>450.70795798229551</v>
      </c>
      <c r="K85" s="316">
        <f>J85/I85*1000*30/PI()</f>
        <v>5373.3100373142734</v>
      </c>
      <c r="L85" s="340">
        <f t="shared" ref="L85:L90" si="69">L84*F84/F85/1.053</f>
        <v>200.90487892883425</v>
      </c>
      <c r="M85" s="316">
        <f>M84*J85/J84</f>
        <v>735.95480644765291</v>
      </c>
      <c r="N85" s="316">
        <f>(L85^2+M85^2)^0.5</f>
        <v>762.88416388781582</v>
      </c>
      <c r="O85" s="318">
        <f>$B$16*L85/1000</f>
        <v>1.2250429626073318</v>
      </c>
      <c r="P85" s="317">
        <f>$B$16*M85/1000</f>
        <v>4.4875777096239666</v>
      </c>
      <c r="Q85" s="319">
        <f>N85*$B$16/1000</f>
        <v>4.6517828797298391</v>
      </c>
      <c r="R85" s="318">
        <f>2*PI()*F85*$B$19*L85/1000</f>
        <v>18.893558844784344</v>
      </c>
      <c r="S85" s="317">
        <f>2*PI()*F85*$B$19*M85/1000</f>
        <v>69.210889834318294</v>
      </c>
      <c r="T85" s="317">
        <f>2*PI()*F85*$B$19*N85/1000</f>
        <v>71.743388806770696</v>
      </c>
      <c r="U85" s="320">
        <f>$B$21*1.05*2*PI()*F85*L85/1000</f>
        <v>207.44445438432751</v>
      </c>
      <c r="V85" s="317">
        <f>O85-S85</f>
        <v>-67.985846871710962</v>
      </c>
      <c r="W85" s="317">
        <f>P85+R85+U85</f>
        <v>230.82559093873581</v>
      </c>
      <c r="X85" s="321">
        <f>(W85^2+V85^2)^0.5</f>
        <v>240.62944293473385</v>
      </c>
      <c r="Y85" s="321">
        <f>X85*3^0.5</f>
        <v>416.78242095995483</v>
      </c>
    </row>
    <row r="86" spans="5:25">
      <c r="E86" s="312">
        <f t="shared" si="65"/>
        <v>4.7852021620706635</v>
      </c>
      <c r="F86" s="313">
        <f t="shared" si="66"/>
        <v>48.959999999999994</v>
      </c>
      <c r="G86" s="314">
        <f t="shared" ref="G86:G91" si="70">H86/I86</f>
        <v>1.8744906275468539E-2</v>
      </c>
      <c r="H86" s="317">
        <f t="shared" ref="H86:H91" si="71">H85*F86/F85</f>
        <v>18.017279999999918</v>
      </c>
      <c r="I86" s="316">
        <f t="shared" si="67"/>
        <v>961.1827199999999</v>
      </c>
      <c r="J86" s="317">
        <f t="shared" si="68"/>
        <v>450.70795798229551</v>
      </c>
      <c r="K86" s="316">
        <f t="shared" ref="K86:K91" si="72">J86/I86*1000*30/PI()</f>
        <v>4477.7583644285614</v>
      </c>
      <c r="L86" s="340">
        <f t="shared" si="69"/>
        <v>158.99404790189482</v>
      </c>
      <c r="M86" s="316">
        <f t="shared" ref="M86:M91" si="73">M85*J86/J85</f>
        <v>735.95480644765291</v>
      </c>
      <c r="N86" s="316">
        <f t="shared" ref="N86:N91" si="74">(L86^2+M86^2)^0.5</f>
        <v>752.93332002351463</v>
      </c>
      <c r="O86" s="318">
        <f t="shared" ref="O86:P91" si="75">$B$16*L86/1000</f>
        <v>0.96948635850532772</v>
      </c>
      <c r="P86" s="317">
        <f t="shared" si="75"/>
        <v>4.4875777096239666</v>
      </c>
      <c r="Q86" s="319">
        <f t="shared" ref="Q86:Q91" si="76">N86*$B$16/1000</f>
        <v>4.5911063480648986</v>
      </c>
      <c r="R86" s="318">
        <f t="shared" ref="R86:R91" si="77">2*PI()*F86*$B$19*L86/1000</f>
        <v>17.94260099219786</v>
      </c>
      <c r="S86" s="317">
        <f t="shared" ref="S86:S91" si="78">2*PI()*F86*$B$19*M86/1000</f>
        <v>83.053067801181953</v>
      </c>
      <c r="T86" s="317">
        <f t="shared" ref="T86:T91" si="79">2*PI()*F86*$B$19*N86/1000</f>
        <v>84.969106159550407</v>
      </c>
      <c r="U86" s="320">
        <f t="shared" ref="U86:U91" si="80">$B$21*1.05*2*PI()*F86*L86/1000</f>
        <v>197.00328051693023</v>
      </c>
      <c r="V86" s="317">
        <f t="shared" ref="V86:V91" si="81">O86-S86</f>
        <v>-82.083581442676632</v>
      </c>
      <c r="W86" s="317">
        <f t="shared" ref="W86:W91" si="82">P86+R86+U86</f>
        <v>219.43345921875206</v>
      </c>
      <c r="X86" s="321">
        <f t="shared" ref="X86:X91" si="83">(W86^2+V86^2)^0.5</f>
        <v>234.28349785497966</v>
      </c>
      <c r="Y86" s="321">
        <f t="shared" ref="Y86:Y91" si="84">X86*3^0.5</f>
        <v>405.7909216597788</v>
      </c>
    </row>
    <row r="87" spans="5:25">
      <c r="E87" s="312">
        <f t="shared" si="65"/>
        <v>3.9295554749890425</v>
      </c>
      <c r="F87" s="313">
        <f t="shared" si="66"/>
        <v>58.751999999999988</v>
      </c>
      <c r="G87" s="314">
        <f t="shared" si="70"/>
        <v>1.8744906275468539E-2</v>
      </c>
      <c r="H87" s="317">
        <f t="shared" si="71"/>
        <v>21.620735999999901</v>
      </c>
      <c r="I87" s="316">
        <f t="shared" si="67"/>
        <v>1153.4192639999999</v>
      </c>
      <c r="J87" s="317">
        <f t="shared" si="68"/>
        <v>450.70795798229551</v>
      </c>
      <c r="K87" s="316">
        <f t="shared" si="72"/>
        <v>3731.4653036904683</v>
      </c>
      <c r="L87" s="340">
        <f t="shared" si="69"/>
        <v>125.82624873527605</v>
      </c>
      <c r="M87" s="316">
        <f t="shared" si="73"/>
        <v>735.95480644765291</v>
      </c>
      <c r="N87" s="316">
        <f t="shared" si="74"/>
        <v>746.63359287149262</v>
      </c>
      <c r="O87" s="318">
        <f t="shared" si="75"/>
        <v>0.76724149929196561</v>
      </c>
      <c r="P87" s="317">
        <f t="shared" si="75"/>
        <v>4.4875777096239666</v>
      </c>
      <c r="Q87" s="319">
        <f t="shared" si="76"/>
        <v>4.5526929633075044</v>
      </c>
      <c r="R87" s="318">
        <f t="shared" si="77"/>
        <v>17.039507115097685</v>
      </c>
      <c r="S87" s="317">
        <f t="shared" si="78"/>
        <v>99.663681361418355</v>
      </c>
      <c r="T87" s="317">
        <f t="shared" si="79"/>
        <v>101.10981250717356</v>
      </c>
      <c r="U87" s="320">
        <f t="shared" si="80"/>
        <v>187.08763581854723</v>
      </c>
      <c r="V87" s="317">
        <f t="shared" si="81"/>
        <v>-98.896439862126385</v>
      </c>
      <c r="W87" s="317">
        <f t="shared" si="82"/>
        <v>208.61472064326887</v>
      </c>
      <c r="X87" s="321">
        <f t="shared" si="83"/>
        <v>230.86924326655617</v>
      </c>
      <c r="Y87" s="321">
        <f t="shared" si="84"/>
        <v>399.87725924265419</v>
      </c>
    </row>
    <row r="88" spans="5:25">
      <c r="E88" s="312">
        <f t="shared" si="65"/>
        <v>3.2806690684181601</v>
      </c>
      <c r="F88" s="313">
        <f t="shared" si="66"/>
        <v>70.50239999999998</v>
      </c>
      <c r="G88" s="314">
        <f t="shared" si="70"/>
        <v>1.8744906275468539E-2</v>
      </c>
      <c r="H88" s="317">
        <f t="shared" si="71"/>
        <v>25.944883199999879</v>
      </c>
      <c r="I88" s="316">
        <f t="shared" si="67"/>
        <v>1384.1031167999997</v>
      </c>
      <c r="J88" s="317">
        <f t="shared" si="68"/>
        <v>450.70795798229551</v>
      </c>
      <c r="K88" s="316">
        <f t="shared" si="72"/>
        <v>3109.5544197420572</v>
      </c>
      <c r="L88" s="340">
        <f t="shared" si="69"/>
        <v>99.577594757261849</v>
      </c>
      <c r="M88" s="316">
        <f t="shared" si="73"/>
        <v>735.95480644765291</v>
      </c>
      <c r="N88" s="316">
        <f t="shared" si="74"/>
        <v>742.66087449861243</v>
      </c>
      <c r="O88" s="318">
        <f t="shared" si="75"/>
        <v>0.60718700482111887</v>
      </c>
      <c r="P88" s="317">
        <f t="shared" si="75"/>
        <v>4.4875777096239666</v>
      </c>
      <c r="Q88" s="319">
        <f t="shared" si="76"/>
        <v>4.5284688095136003</v>
      </c>
      <c r="R88" s="318">
        <f t="shared" si="77"/>
        <v>16.18186810550587</v>
      </c>
      <c r="S88" s="317">
        <f t="shared" si="78"/>
        <v>119.59641763370199</v>
      </c>
      <c r="T88" s="317">
        <f t="shared" si="79"/>
        <v>120.68618796779876</v>
      </c>
      <c r="U88" s="320">
        <f t="shared" si="80"/>
        <v>177.67106915341617</v>
      </c>
      <c r="V88" s="317">
        <f t="shared" si="81"/>
        <v>-118.98923062888088</v>
      </c>
      <c r="W88" s="317">
        <f t="shared" si="82"/>
        <v>198.34051496854602</v>
      </c>
      <c r="X88" s="321">
        <f t="shared" si="83"/>
        <v>231.29504292924443</v>
      </c>
      <c r="Y88" s="321">
        <f t="shared" si="84"/>
        <v>400.61476589227595</v>
      </c>
    </row>
    <row r="89" spans="5:25">
      <c r="E89" s="312">
        <f t="shared" si="65"/>
        <v>2.7976743361103096</v>
      </c>
      <c r="F89" s="313">
        <f t="shared" si="66"/>
        <v>84.602879999999971</v>
      </c>
      <c r="G89" s="314">
        <f t="shared" si="70"/>
        <v>1.8744906275468539E-2</v>
      </c>
      <c r="H89" s="317">
        <f t="shared" si="71"/>
        <v>31.133859839999854</v>
      </c>
      <c r="I89" s="316">
        <f t="shared" si="67"/>
        <v>1660.9237401599996</v>
      </c>
      <c r="J89" s="317">
        <f t="shared" si="68"/>
        <v>450.70795798229551</v>
      </c>
      <c r="K89" s="316">
        <f t="shared" si="72"/>
        <v>2591.2953497850476</v>
      </c>
      <c r="L89" s="340">
        <f t="shared" si="69"/>
        <v>78.804680877858402</v>
      </c>
      <c r="M89" s="316">
        <f t="shared" si="73"/>
        <v>735.95480644765291</v>
      </c>
      <c r="N89" s="316">
        <f t="shared" si="74"/>
        <v>740.16191124757518</v>
      </c>
      <c r="O89" s="318">
        <f t="shared" si="75"/>
        <v>0.48052152961468736</v>
      </c>
      <c r="P89" s="317">
        <f t="shared" si="75"/>
        <v>4.4875777096239666</v>
      </c>
      <c r="Q89" s="319">
        <f t="shared" si="76"/>
        <v>4.5132310643636586</v>
      </c>
      <c r="R89" s="318">
        <f t="shared" si="77"/>
        <v>15.367396111591525</v>
      </c>
      <c r="S89" s="317">
        <f t="shared" si="78"/>
        <v>143.51570116044238</v>
      </c>
      <c r="T89" s="317">
        <f t="shared" si="79"/>
        <v>144.33611240027201</v>
      </c>
      <c r="U89" s="320">
        <f t="shared" si="80"/>
        <v>168.72846073448832</v>
      </c>
      <c r="V89" s="317">
        <f t="shared" si="81"/>
        <v>-143.03517963082768</v>
      </c>
      <c r="W89" s="317">
        <f t="shared" si="82"/>
        <v>188.5834345557038</v>
      </c>
      <c r="X89" s="321">
        <f t="shared" si="83"/>
        <v>236.69130613702009</v>
      </c>
      <c r="Y89" s="321">
        <f t="shared" si="84"/>
        <v>409.96136793915798</v>
      </c>
    </row>
    <row r="90" spans="5:25">
      <c r="E90" s="312">
        <f t="shared" si="65"/>
        <v>2.6998492822442022</v>
      </c>
      <c r="F90" s="313">
        <f t="shared" si="66"/>
        <v>85.2</v>
      </c>
      <c r="G90" s="314">
        <f t="shared" si="70"/>
        <v>1.8744906275468542E-2</v>
      </c>
      <c r="H90" s="317">
        <f t="shared" si="71"/>
        <v>31.353599999999865</v>
      </c>
      <c r="I90" s="316">
        <f t="shared" si="67"/>
        <v>1672.6464000000001</v>
      </c>
      <c r="J90" s="317">
        <f t="shared" si="68"/>
        <v>450.70795798229551</v>
      </c>
      <c r="K90" s="316">
        <f t="shared" si="72"/>
        <v>2573.1343840659906</v>
      </c>
      <c r="L90" s="340">
        <f t="shared" si="69"/>
        <v>74.313753235198192</v>
      </c>
      <c r="M90" s="316">
        <f t="shared" si="73"/>
        <v>735.95480644765291</v>
      </c>
      <c r="N90" s="316">
        <f t="shared" si="74"/>
        <v>739.697242832028</v>
      </c>
      <c r="O90" s="318">
        <f t="shared" si="75"/>
        <v>0.45313752911876903</v>
      </c>
      <c r="P90" s="317">
        <f t="shared" si="75"/>
        <v>4.4875777096239666</v>
      </c>
      <c r="Q90" s="319">
        <f t="shared" si="76"/>
        <v>4.510397689806271</v>
      </c>
      <c r="R90" s="318">
        <f t="shared" si="77"/>
        <v>14.593918434559855</v>
      </c>
      <c r="S90" s="317">
        <f t="shared" si="78"/>
        <v>144.52862288931178</v>
      </c>
      <c r="T90" s="317">
        <f t="shared" si="79"/>
        <v>145.26357179126322</v>
      </c>
      <c r="U90" s="320">
        <f t="shared" si="80"/>
        <v>160.23595511347423</v>
      </c>
      <c r="V90" s="317">
        <f t="shared" si="81"/>
        <v>-144.075485360193</v>
      </c>
      <c r="W90" s="317">
        <f t="shared" si="82"/>
        <v>179.31745125765806</v>
      </c>
      <c r="X90" s="321">
        <f t="shared" si="83"/>
        <v>230.02715884720604</v>
      </c>
      <c r="Y90" s="321">
        <f t="shared" si="84"/>
        <v>398.41872624407762</v>
      </c>
    </row>
    <row r="91" spans="5:25">
      <c r="E91" s="312">
        <f t="shared" si="65"/>
        <v>2.6203075733432559</v>
      </c>
      <c r="F91" s="313">
        <f>IF(F90*1.2&gt;$F$92,$F$92,F90*1.2)</f>
        <v>85.2</v>
      </c>
      <c r="G91" s="314">
        <f t="shared" si="70"/>
        <v>1.8744906275468542E-2</v>
      </c>
      <c r="H91" s="317">
        <f t="shared" si="71"/>
        <v>31.353599999999865</v>
      </c>
      <c r="I91" s="316">
        <f t="shared" si="67"/>
        <v>1672.6464000000001</v>
      </c>
      <c r="J91" s="317">
        <f t="shared" si="68"/>
        <v>450.70795798229551</v>
      </c>
      <c r="K91" s="316">
        <f t="shared" si="72"/>
        <v>2573.1343840659906</v>
      </c>
      <c r="L91" s="340">
        <f>L90*F90/F91/1.053</f>
        <v>70.573364895724779</v>
      </c>
      <c r="M91" s="316">
        <f t="shared" si="73"/>
        <v>735.95480644765291</v>
      </c>
      <c r="N91" s="316">
        <f t="shared" si="74"/>
        <v>739.33083052589348</v>
      </c>
      <c r="O91" s="318">
        <f t="shared" si="75"/>
        <v>0.43033003714982809</v>
      </c>
      <c r="P91" s="317">
        <f t="shared" si="75"/>
        <v>4.4875777096239666</v>
      </c>
      <c r="Q91" s="319">
        <f t="shared" si="76"/>
        <v>4.5081634443293268</v>
      </c>
      <c r="R91" s="318">
        <f t="shared" si="77"/>
        <v>13.859371732725409</v>
      </c>
      <c r="S91" s="317">
        <f t="shared" si="78"/>
        <v>144.52862288931178</v>
      </c>
      <c r="T91" s="317">
        <f t="shared" si="79"/>
        <v>145.19161483745114</v>
      </c>
      <c r="U91" s="320">
        <f t="shared" si="80"/>
        <v>152.17089754366023</v>
      </c>
      <c r="V91" s="317">
        <f t="shared" si="81"/>
        <v>-144.09829285216196</v>
      </c>
      <c r="W91" s="317">
        <f t="shared" si="82"/>
        <v>170.5178469860096</v>
      </c>
      <c r="X91" s="321">
        <f t="shared" si="83"/>
        <v>223.25020524884542</v>
      </c>
      <c r="Y91" s="321">
        <f t="shared" si="84"/>
        <v>386.68069829118031</v>
      </c>
    </row>
    <row r="92" spans="5:25" ht="15.75" thickBot="1">
      <c r="E92" s="325">
        <f>E47</f>
        <v>3.4337819629396273</v>
      </c>
      <c r="F92" s="326">
        <f>F49</f>
        <v>85.2</v>
      </c>
      <c r="G92" s="326">
        <f t="shared" ref="G92:Y92" si="85">G49</f>
        <v>1.7574660957738405E-2</v>
      </c>
      <c r="H92" s="326">
        <f>H49</f>
        <v>29.43</v>
      </c>
      <c r="I92" s="361">
        <f t="shared" si="67"/>
        <v>1674.57</v>
      </c>
      <c r="J92" s="326">
        <f t="shared" si="85"/>
        <v>450.72975615862964</v>
      </c>
      <c r="K92" s="326">
        <f t="shared" si="85"/>
        <v>2570.3028965495828</v>
      </c>
      <c r="L92" s="326">
        <f t="shared" si="85"/>
        <v>104.56570469483569</v>
      </c>
      <c r="M92" s="326">
        <f t="shared" si="85"/>
        <v>712.20443390905541</v>
      </c>
      <c r="N92" s="326">
        <f t="shared" si="85"/>
        <v>719.83966428507233</v>
      </c>
      <c r="O92" s="326">
        <f t="shared" si="85"/>
        <v>0.63760263737477663</v>
      </c>
      <c r="P92" s="326">
        <f t="shared" si="85"/>
        <v>4.3427568028702899</v>
      </c>
      <c r="Q92" s="326">
        <f t="shared" si="85"/>
        <v>4.3893135878020209</v>
      </c>
      <c r="R92" s="326">
        <f t="shared" si="85"/>
        <v>20.534871392364479</v>
      </c>
      <c r="S92" s="326">
        <f t="shared" si="85"/>
        <v>139.86446606060605</v>
      </c>
      <c r="T92" s="326">
        <f t="shared" si="85"/>
        <v>141.36389146284623</v>
      </c>
      <c r="U92" s="362">
        <f t="shared" si="85"/>
        <v>214.72902242137783</v>
      </c>
      <c r="V92" s="326">
        <f t="shared" si="85"/>
        <v>-139.22686342323126</v>
      </c>
      <c r="W92" s="326">
        <f t="shared" si="85"/>
        <v>239.6066506166126</v>
      </c>
      <c r="X92" s="326">
        <f t="shared" si="85"/>
        <v>277.11994969395931</v>
      </c>
      <c r="Y92" s="326">
        <f t="shared" si="85"/>
        <v>479.98583266086882</v>
      </c>
    </row>
    <row r="93" spans="5:25">
      <c r="E93" s="312"/>
      <c r="F93" s="313"/>
      <c r="G93" s="314"/>
      <c r="H93" s="317"/>
      <c r="I93" s="316"/>
      <c r="J93" s="317"/>
      <c r="K93" s="316"/>
      <c r="L93" s="340"/>
      <c r="M93" s="316"/>
      <c r="N93" s="316"/>
      <c r="O93" s="318"/>
      <c r="P93" s="317"/>
      <c r="Q93" s="319"/>
      <c r="R93" s="318"/>
      <c r="S93" s="317"/>
      <c r="T93" s="319"/>
      <c r="U93" s="320"/>
      <c r="V93" s="317"/>
      <c r="W93" s="317"/>
      <c r="X93" s="321"/>
      <c r="Y93" s="321"/>
    </row>
    <row r="94" spans="5:25">
      <c r="E94" s="312"/>
      <c r="F94" s="313"/>
      <c r="G94" s="314"/>
      <c r="H94" s="317"/>
      <c r="I94" s="316"/>
      <c r="J94" s="317"/>
      <c r="K94" s="316"/>
      <c r="L94" s="340"/>
      <c r="M94" s="316"/>
      <c r="N94" s="316"/>
      <c r="O94" s="318"/>
      <c r="P94" s="317"/>
      <c r="Q94" s="319"/>
      <c r="R94" s="318"/>
      <c r="S94" s="317"/>
      <c r="T94" s="319"/>
      <c r="U94" s="320"/>
      <c r="V94" s="317"/>
      <c r="W94" s="317"/>
      <c r="X94" s="321"/>
      <c r="Y94" s="321"/>
    </row>
    <row r="95" spans="5:25">
      <c r="E95" s="312"/>
      <c r="F95" s="313"/>
      <c r="G95" s="314"/>
      <c r="H95" s="317"/>
      <c r="I95" s="316"/>
      <c r="J95" s="317"/>
      <c r="K95" s="316"/>
      <c r="L95" s="340"/>
      <c r="M95" s="316"/>
      <c r="N95" s="316"/>
      <c r="O95" s="318"/>
      <c r="P95" s="317"/>
      <c r="Q95" s="319"/>
      <c r="R95" s="318"/>
      <c r="S95" s="317"/>
      <c r="T95" s="319"/>
      <c r="U95" s="320"/>
      <c r="V95" s="317"/>
      <c r="W95" s="317"/>
      <c r="X95" s="321"/>
      <c r="Y95" s="321"/>
    </row>
    <row r="96" spans="5:25">
      <c r="E96" s="312"/>
      <c r="F96" s="313"/>
      <c r="G96" s="314"/>
      <c r="H96" s="317"/>
      <c r="I96" s="316"/>
      <c r="J96" s="317"/>
      <c r="K96" s="316"/>
      <c r="L96" s="340"/>
      <c r="M96" s="316"/>
      <c r="N96" s="316"/>
      <c r="O96" s="318"/>
      <c r="P96" s="317"/>
      <c r="Q96" s="319"/>
      <c r="R96" s="318"/>
      <c r="S96" s="317"/>
      <c r="T96" s="319"/>
      <c r="U96" s="320"/>
      <c r="V96" s="317"/>
      <c r="W96" s="317"/>
      <c r="X96" s="321"/>
      <c r="Y96" s="321"/>
    </row>
    <row r="97" spans="5:25">
      <c r="E97" s="312"/>
      <c r="F97" s="313"/>
      <c r="G97" s="314"/>
      <c r="H97" s="317"/>
      <c r="I97" s="316"/>
      <c r="J97" s="317"/>
      <c r="K97" s="316"/>
      <c r="L97" s="340"/>
      <c r="M97" s="316"/>
      <c r="N97" s="316"/>
      <c r="O97" s="318"/>
      <c r="P97" s="317"/>
      <c r="Q97" s="319"/>
      <c r="R97" s="318"/>
      <c r="S97" s="317"/>
      <c r="T97" s="319"/>
      <c r="U97" s="320"/>
      <c r="V97" s="317"/>
      <c r="W97" s="317"/>
      <c r="X97" s="321"/>
      <c r="Y97" s="321"/>
    </row>
    <row r="98" spans="5:25">
      <c r="E98" s="312"/>
      <c r="F98" s="313"/>
      <c r="G98" s="314"/>
      <c r="H98" s="317"/>
      <c r="I98" s="316"/>
      <c r="J98" s="317"/>
      <c r="K98" s="316"/>
      <c r="L98" s="340"/>
      <c r="M98" s="316"/>
      <c r="N98" s="316"/>
      <c r="O98" s="318"/>
      <c r="P98" s="317"/>
      <c r="Q98" s="319"/>
      <c r="R98" s="318"/>
      <c r="S98" s="317"/>
      <c r="T98" s="319"/>
      <c r="U98" s="320"/>
      <c r="V98" s="317"/>
      <c r="W98" s="317"/>
      <c r="X98" s="321"/>
      <c r="Y98" s="321"/>
    </row>
    <row r="100" spans="5:25" ht="15.75" thickBot="1">
      <c r="H100" s="300" t="s">
        <v>219</v>
      </c>
    </row>
    <row r="101" spans="5:25">
      <c r="E101" s="307"/>
      <c r="O101" s="308"/>
      <c r="P101" s="309"/>
      <c r="Q101" s="310"/>
      <c r="R101" s="308"/>
      <c r="S101" s="309"/>
      <c r="T101" s="310"/>
      <c r="U101" s="311"/>
    </row>
    <row r="102" spans="5:25">
      <c r="E102" s="312"/>
      <c r="F102" s="321"/>
      <c r="G102" s="314"/>
      <c r="H102" s="317"/>
      <c r="I102" s="316"/>
      <c r="J102" s="317"/>
      <c r="K102" s="316"/>
      <c r="L102" s="317"/>
      <c r="M102" s="316"/>
      <c r="N102" s="316"/>
      <c r="O102" s="318"/>
      <c r="Q102" s="319"/>
      <c r="R102" s="318"/>
      <c r="S102" s="317"/>
      <c r="T102" s="319"/>
      <c r="U102" s="320"/>
      <c r="V102" s="317"/>
      <c r="W102" s="317"/>
      <c r="X102" s="321"/>
      <c r="Y102" s="321"/>
    </row>
    <row r="103" spans="5:25">
      <c r="E103" s="312"/>
      <c r="F103" s="313"/>
      <c r="G103" s="314"/>
      <c r="H103" s="317"/>
      <c r="I103" s="316"/>
      <c r="J103" s="317"/>
      <c r="K103" s="316"/>
      <c r="L103" s="340"/>
      <c r="M103" s="316"/>
      <c r="N103" s="316"/>
      <c r="O103" s="318"/>
      <c r="P103" s="317"/>
      <c r="Q103" s="319"/>
      <c r="R103" s="318"/>
      <c r="S103" s="317"/>
      <c r="T103" s="319"/>
      <c r="U103" s="320"/>
      <c r="V103" s="317"/>
      <c r="W103" s="317"/>
      <c r="X103" s="321"/>
      <c r="Y103" s="321"/>
    </row>
    <row r="104" spans="5:25">
      <c r="E104" s="312"/>
      <c r="F104" s="313"/>
      <c r="G104" s="314"/>
      <c r="H104" s="317"/>
      <c r="I104" s="316"/>
      <c r="J104" s="317"/>
      <c r="K104" s="316"/>
      <c r="L104" s="340"/>
      <c r="M104" s="316"/>
      <c r="N104" s="316"/>
      <c r="O104" s="318"/>
      <c r="P104" s="317"/>
      <c r="Q104" s="319"/>
      <c r="R104" s="318"/>
      <c r="S104" s="317"/>
      <c r="T104" s="319"/>
      <c r="U104" s="320"/>
      <c r="V104" s="317"/>
      <c r="W104" s="317"/>
      <c r="X104" s="321"/>
      <c r="Y104" s="321"/>
    </row>
    <row r="105" spans="5:25">
      <c r="E105" s="312"/>
      <c r="F105" s="313"/>
      <c r="G105" s="314"/>
      <c r="H105" s="317"/>
      <c r="I105" s="316"/>
      <c r="J105" s="317"/>
      <c r="K105" s="316"/>
      <c r="L105" s="340"/>
      <c r="M105" s="316"/>
      <c r="N105" s="316"/>
      <c r="O105" s="318"/>
      <c r="P105" s="317"/>
      <c r="Q105" s="319"/>
      <c r="R105" s="318"/>
      <c r="S105" s="317"/>
      <c r="T105" s="319"/>
      <c r="U105" s="320"/>
      <c r="V105" s="317"/>
      <c r="W105" s="317"/>
      <c r="X105" s="321"/>
      <c r="Y105" s="321"/>
    </row>
    <row r="106" spans="5:25">
      <c r="E106" s="312"/>
      <c r="F106" s="313"/>
      <c r="G106" s="314"/>
      <c r="H106" s="317"/>
      <c r="I106" s="316"/>
      <c r="J106" s="317"/>
      <c r="K106" s="316"/>
      <c r="L106" s="340"/>
      <c r="M106" s="316"/>
      <c r="N106" s="316"/>
      <c r="O106" s="318"/>
      <c r="P106" s="317"/>
      <c r="Q106" s="319"/>
      <c r="R106" s="318"/>
      <c r="S106" s="317"/>
      <c r="T106" s="319"/>
      <c r="U106" s="320"/>
      <c r="V106" s="317"/>
      <c r="W106" s="317"/>
      <c r="X106" s="321"/>
      <c r="Y106" s="321"/>
    </row>
    <row r="107" spans="5:25">
      <c r="E107" s="312"/>
      <c r="F107" s="313"/>
      <c r="G107" s="314"/>
      <c r="H107" s="317"/>
      <c r="I107" s="316"/>
      <c r="J107" s="317"/>
      <c r="K107" s="316"/>
      <c r="L107" s="340"/>
      <c r="M107" s="316"/>
      <c r="N107" s="316"/>
      <c r="O107" s="318"/>
      <c r="P107" s="317"/>
      <c r="Q107" s="319"/>
      <c r="R107" s="318"/>
      <c r="S107" s="317"/>
      <c r="T107" s="319"/>
      <c r="U107" s="320"/>
      <c r="V107" s="317"/>
      <c r="W107" s="317"/>
      <c r="X107" s="321"/>
      <c r="Y107" s="321"/>
    </row>
    <row r="108" spans="5:25">
      <c r="E108" s="312"/>
      <c r="F108" s="313"/>
      <c r="G108" s="314"/>
      <c r="H108" s="317"/>
      <c r="I108" s="316"/>
      <c r="J108" s="317"/>
      <c r="K108" s="316"/>
      <c r="L108" s="340"/>
      <c r="M108" s="316"/>
      <c r="N108" s="316"/>
      <c r="O108" s="318"/>
      <c r="P108" s="317"/>
      <c r="Q108" s="319"/>
      <c r="R108" s="318"/>
      <c r="S108" s="317"/>
      <c r="T108" s="319"/>
      <c r="U108" s="320"/>
      <c r="V108" s="317"/>
      <c r="W108" s="317"/>
      <c r="X108" s="321"/>
      <c r="Y108" s="321"/>
    </row>
    <row r="109" spans="5:25">
      <c r="E109" s="312"/>
      <c r="F109" s="313"/>
      <c r="G109" s="314"/>
      <c r="H109" s="317"/>
      <c r="I109" s="316"/>
      <c r="J109" s="317"/>
      <c r="K109" s="316"/>
      <c r="L109" s="340"/>
      <c r="M109" s="316"/>
      <c r="N109" s="316"/>
      <c r="O109" s="318"/>
      <c r="P109" s="317"/>
      <c r="Q109" s="319"/>
      <c r="R109" s="318"/>
      <c r="S109" s="317"/>
      <c r="T109" s="319"/>
      <c r="U109" s="320"/>
      <c r="V109" s="317"/>
      <c r="W109" s="317"/>
      <c r="X109" s="321"/>
      <c r="Y109" s="321"/>
    </row>
    <row r="110" spans="5:25">
      <c r="E110" s="312"/>
      <c r="F110" s="313"/>
      <c r="G110" s="314"/>
      <c r="H110" s="317"/>
      <c r="I110" s="316"/>
      <c r="J110" s="317"/>
      <c r="K110" s="316"/>
      <c r="L110" s="340"/>
      <c r="M110" s="316"/>
      <c r="N110" s="316"/>
      <c r="O110" s="318"/>
      <c r="P110" s="317"/>
      <c r="Q110" s="319"/>
      <c r="R110" s="318"/>
      <c r="S110" s="317"/>
      <c r="T110" s="319"/>
      <c r="U110" s="320"/>
      <c r="V110" s="317"/>
      <c r="W110" s="317"/>
      <c r="X110" s="321"/>
      <c r="Y110" s="321"/>
    </row>
    <row r="111" spans="5:25">
      <c r="E111" s="312"/>
      <c r="F111" s="313"/>
      <c r="G111" s="314"/>
      <c r="H111" s="317"/>
      <c r="I111" s="316"/>
      <c r="J111" s="317"/>
      <c r="K111" s="316"/>
      <c r="L111" s="340"/>
      <c r="M111" s="316"/>
      <c r="N111" s="316"/>
      <c r="O111" s="318"/>
      <c r="P111" s="317"/>
      <c r="Q111" s="319"/>
      <c r="R111" s="318"/>
      <c r="S111" s="317"/>
      <c r="T111" s="319"/>
      <c r="U111" s="320"/>
      <c r="V111" s="317"/>
      <c r="W111" s="317"/>
      <c r="X111" s="321"/>
      <c r="Y111" s="321"/>
    </row>
    <row r="112" spans="5:25">
      <c r="E112" s="312"/>
      <c r="F112" s="313"/>
      <c r="G112" s="314"/>
      <c r="H112" s="317"/>
      <c r="I112" s="316"/>
      <c r="J112" s="317"/>
      <c r="K112" s="316"/>
      <c r="L112" s="340"/>
      <c r="M112" s="316"/>
      <c r="N112" s="316"/>
      <c r="O112" s="318"/>
      <c r="P112" s="317"/>
      <c r="Q112" s="319"/>
      <c r="R112" s="318"/>
      <c r="S112" s="317"/>
      <c r="T112" s="319"/>
      <c r="U112" s="320"/>
      <c r="V112" s="317"/>
      <c r="W112" s="317"/>
      <c r="X112" s="321"/>
      <c r="Y112" s="321"/>
    </row>
    <row r="113" spans="5:25">
      <c r="E113" s="312"/>
      <c r="F113" s="313"/>
      <c r="G113" s="314"/>
      <c r="H113" s="317"/>
      <c r="I113" s="316"/>
      <c r="J113" s="317"/>
      <c r="K113" s="316"/>
      <c r="L113" s="340"/>
      <c r="M113" s="316"/>
      <c r="N113" s="316"/>
      <c r="O113" s="318"/>
      <c r="P113" s="317"/>
      <c r="Q113" s="319"/>
      <c r="R113" s="318"/>
      <c r="S113" s="317"/>
      <c r="T113" s="319"/>
      <c r="U113" s="320"/>
      <c r="V113" s="317"/>
      <c r="W113" s="317"/>
      <c r="X113" s="321"/>
      <c r="Y113" s="321"/>
    </row>
    <row r="114" spans="5:25">
      <c r="E114" s="312"/>
      <c r="F114" s="313"/>
      <c r="G114" s="314"/>
      <c r="H114" s="317"/>
      <c r="I114" s="316"/>
      <c r="J114" s="317"/>
      <c r="K114" s="316"/>
      <c r="L114" s="340"/>
      <c r="M114" s="316"/>
      <c r="N114" s="316"/>
      <c r="O114" s="318"/>
      <c r="P114" s="317"/>
      <c r="Q114" s="319"/>
      <c r="R114" s="318"/>
      <c r="S114" s="317"/>
      <c r="T114" s="319"/>
      <c r="U114" s="320"/>
      <c r="V114" s="317"/>
      <c r="W114" s="317"/>
      <c r="X114" s="321"/>
      <c r="Y114" s="321"/>
    </row>
    <row r="115" spans="5:25">
      <c r="E115" s="312"/>
      <c r="F115" s="313"/>
      <c r="G115" s="314"/>
      <c r="H115" s="317"/>
      <c r="I115" s="316"/>
      <c r="J115" s="317"/>
      <c r="K115" s="316"/>
      <c r="L115" s="340"/>
      <c r="M115" s="316"/>
      <c r="N115" s="316"/>
      <c r="O115" s="318"/>
      <c r="P115" s="317"/>
      <c r="Q115" s="319"/>
      <c r="R115" s="318"/>
      <c r="S115" s="317"/>
      <c r="T115" s="319"/>
      <c r="U115" s="320"/>
      <c r="V115" s="317"/>
      <c r="W115" s="317"/>
      <c r="X115" s="321"/>
      <c r="Y115" s="321"/>
    </row>
    <row r="116" spans="5:25">
      <c r="E116" s="312"/>
      <c r="F116" s="313"/>
      <c r="G116" s="314"/>
      <c r="H116" s="317"/>
      <c r="I116" s="316"/>
      <c r="J116" s="317"/>
      <c r="K116" s="316"/>
      <c r="L116" s="340"/>
      <c r="M116" s="316"/>
      <c r="N116" s="316"/>
      <c r="O116" s="318"/>
      <c r="P116" s="317"/>
      <c r="Q116" s="319"/>
      <c r="R116" s="318"/>
      <c r="S116" s="317"/>
      <c r="T116" s="319"/>
      <c r="U116" s="320"/>
      <c r="V116" s="317"/>
      <c r="W116" s="317"/>
      <c r="X116" s="321"/>
      <c r="Y116" s="321"/>
    </row>
  </sheetData>
  <mergeCells count="1">
    <mergeCell ref="AD1:A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RESUM</vt:lpstr>
      <vt:lpstr>driving mode datasheet</vt:lpstr>
      <vt:lpstr>driving mode parameters</vt:lpstr>
      <vt:lpstr>absorbing mode datasheet</vt:lpstr>
      <vt:lpstr>absorbing mode parameters</vt:lpstr>
      <vt:lpstr>limit 480V</vt:lpstr>
      <vt:lpstr>Limit</vt:lpstr>
      <vt:lpstr>'absorbing mode datasheet'!Print_Area</vt:lpstr>
      <vt:lpstr>'absorbing mode parameters'!Print_Area</vt:lpstr>
      <vt:lpstr>'driving mode datasheet'!Print_Area</vt:lpstr>
      <vt:lpstr>'driving mode parameters'!Print_Area</vt:lpstr>
      <vt:lpstr>RESUM!Print_Area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Trullen</dc:creator>
  <cp:lastModifiedBy>Simon Jones</cp:lastModifiedBy>
  <cp:lastPrinted>2023-12-21T08:26:59Z</cp:lastPrinted>
  <dcterms:created xsi:type="dcterms:W3CDTF">2023-10-11T15:45:03Z</dcterms:created>
  <dcterms:modified xsi:type="dcterms:W3CDTF">2024-05-16T12:09:43Z</dcterms:modified>
</cp:coreProperties>
</file>