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ctrlProps/ctrlProp1.xml" ContentType="application/vnd.ms-excel.controlproperties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embeddings/oleObject6.bin" ContentType="application/vnd.openxmlformats-officedocument.oleObject"/>
  <Override PartName="/xl/drawings/drawing4.xml" ContentType="application/vnd.openxmlformats-officedocument.drawing+xml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ctrlProps/ctrlProp2.xml" ContentType="application/vnd.ms-excel.controlproperties+xml"/>
  <Override PartName="/xl/comments2.xml" ContentType="application/vnd.openxmlformats-officedocument.spreadsheetml.comment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embeddings/oleObject11.bin" ContentType="application/vnd.openxmlformats-officedocument.oleObject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vinas.VASCATSA\Downloads\"/>
    </mc:Choice>
  </mc:AlternateContent>
  <xr:revisionPtr revIDLastSave="0" documentId="13_ncr:1_{E3C3D0A2-1CD0-46F0-8A29-848DFE0B477B}" xr6:coauthVersionLast="47" xr6:coauthVersionMax="47" xr10:uidLastSave="{00000000-0000-0000-0000-000000000000}"/>
  <bookViews>
    <workbookView xWindow="28680" yWindow="-120" windowWidth="29040" windowHeight="15840" firstSheet="1" activeTab="1" xr2:uid="{00000000-000D-0000-FFFF-FFFF00000000}"/>
  </bookViews>
  <sheets>
    <sheet name="RESUM" sheetId="1" state="hidden" r:id="rId1"/>
    <sheet name="driving mode datasheet" sheetId="2" r:id="rId2"/>
    <sheet name="driving mode parameters" sheetId="3" r:id="rId3"/>
    <sheet name="absorbing mode datasheet" sheetId="4" r:id="rId4"/>
    <sheet name="absorbing mode parameters" sheetId="5" r:id="rId5"/>
    <sheet name="limit 480V" sheetId="6" state="hidden" r:id="rId6"/>
    <sheet name="Limit" sheetId="7" state="hidden" r:id="rId7"/>
  </sheets>
  <definedNames>
    <definedName name="_xlnm.Print_Area" localSheetId="3">'absorbing mode datasheet'!$A$1:$N$155</definedName>
    <definedName name="_xlnm.Print_Area" localSheetId="4">'absorbing mode parameters'!$A$1:$M$54</definedName>
    <definedName name="_xlnm.Print_Area" localSheetId="1">'driving mode datasheet'!$A$1:$N$156</definedName>
    <definedName name="_xlnm.Print_Area" localSheetId="2">'driving mode parameters'!$A$1:$M$54</definedName>
    <definedName name="_xlnm.Print_Area" localSheetId="0">RESUM!$A$1:$J$32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0" i="2" l="1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40" i="4"/>
  <c r="M39" i="4"/>
  <c r="M38" i="4"/>
  <c r="M37" i="4"/>
  <c r="M36" i="4"/>
  <c r="M35" i="4"/>
  <c r="M34" i="4"/>
  <c r="M33" i="4"/>
  <c r="M32" i="4"/>
  <c r="M31" i="4"/>
  <c r="M30" i="4"/>
  <c r="M29" i="4"/>
  <c r="M28" i="4"/>
  <c r="M27" i="4"/>
  <c r="Y40" i="4" l="1"/>
  <c r="Y39" i="4"/>
  <c r="Y38" i="4"/>
  <c r="Y37" i="4"/>
  <c r="Y36" i="4"/>
  <c r="Y35" i="4"/>
  <c r="Y34" i="4"/>
  <c r="Y33" i="4"/>
  <c r="Y32" i="4"/>
  <c r="Y31" i="4"/>
  <c r="Y30" i="4"/>
  <c r="Y29" i="4"/>
  <c r="Y28" i="4"/>
  <c r="Y27" i="4"/>
  <c r="F39" i="4" l="1"/>
  <c r="E39" i="4" s="1"/>
  <c r="X32" i="4"/>
  <c r="AD27" i="4"/>
  <c r="Y32" i="2"/>
  <c r="X32" i="2"/>
  <c r="AD27" i="2"/>
  <c r="R40" i="4"/>
  <c r="Q40" i="4"/>
  <c r="F40" i="4" s="1"/>
  <c r="E40" i="4" s="1"/>
  <c r="P40" i="4"/>
  <c r="O40" i="4"/>
  <c r="R39" i="4"/>
  <c r="Q39" i="4"/>
  <c r="P39" i="4"/>
  <c r="O39" i="4"/>
  <c r="N27" i="2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C40" i="4"/>
  <c r="B40" i="4"/>
  <c r="A40" i="4"/>
  <c r="C39" i="4"/>
  <c r="B39" i="4"/>
  <c r="A39" i="4"/>
  <c r="C38" i="4"/>
  <c r="B38" i="4"/>
  <c r="A38" i="4"/>
  <c r="C37" i="4"/>
  <c r="B37" i="4"/>
  <c r="A37" i="4"/>
  <c r="C36" i="4"/>
  <c r="B36" i="4"/>
  <c r="A36" i="4"/>
  <c r="C35" i="4"/>
  <c r="V35" i="4" s="1"/>
  <c r="B35" i="4"/>
  <c r="A35" i="4"/>
  <c r="C34" i="4"/>
  <c r="B34" i="4"/>
  <c r="A34" i="4"/>
  <c r="C33" i="4"/>
  <c r="B33" i="4"/>
  <c r="A33" i="4"/>
  <c r="C32" i="4"/>
  <c r="B32" i="4"/>
  <c r="A32" i="4"/>
  <c r="C31" i="4"/>
  <c r="V31" i="4" s="1"/>
  <c r="U31" i="4" s="1"/>
  <c r="B31" i="4"/>
  <c r="A31" i="4"/>
  <c r="C30" i="4"/>
  <c r="B30" i="4"/>
  <c r="A30" i="4"/>
  <c r="C29" i="4"/>
  <c r="B29" i="4"/>
  <c r="A29" i="4"/>
  <c r="C28" i="4"/>
  <c r="B28" i="4"/>
  <c r="A28" i="4"/>
  <c r="C27" i="4"/>
  <c r="B27" i="4"/>
  <c r="A27" i="4"/>
  <c r="C40" i="2"/>
  <c r="B40" i="2"/>
  <c r="A40" i="2"/>
  <c r="C39" i="2"/>
  <c r="B39" i="2"/>
  <c r="A39" i="2"/>
  <c r="C38" i="2"/>
  <c r="B38" i="2"/>
  <c r="A38" i="2"/>
  <c r="C37" i="2"/>
  <c r="V37" i="2" s="1"/>
  <c r="B37" i="2"/>
  <c r="A37" i="2"/>
  <c r="C36" i="2"/>
  <c r="B36" i="2"/>
  <c r="A36" i="2"/>
  <c r="C35" i="2"/>
  <c r="B35" i="2"/>
  <c r="A35" i="2"/>
  <c r="C34" i="2"/>
  <c r="B34" i="2"/>
  <c r="A34" i="2"/>
  <c r="C33" i="2"/>
  <c r="B33" i="2"/>
  <c r="A33" i="2"/>
  <c r="C32" i="2"/>
  <c r="B32" i="2"/>
  <c r="Y28" i="2" s="1"/>
  <c r="A32" i="2"/>
  <c r="C31" i="2"/>
  <c r="B31" i="2"/>
  <c r="A31" i="2"/>
  <c r="C30" i="2"/>
  <c r="B30" i="2"/>
  <c r="A30" i="2"/>
  <c r="C29" i="2"/>
  <c r="B29" i="2"/>
  <c r="A29" i="2"/>
  <c r="C28" i="2"/>
  <c r="B28" i="2"/>
  <c r="A28" i="2"/>
  <c r="C27" i="2"/>
  <c r="B27" i="2"/>
  <c r="A27" i="2"/>
  <c r="N40" i="2"/>
  <c r="N39" i="2"/>
  <c r="N38" i="2"/>
  <c r="N37" i="2"/>
  <c r="N36" i="2"/>
  <c r="N35" i="2"/>
  <c r="N34" i="2"/>
  <c r="N33" i="2"/>
  <c r="N32" i="2"/>
  <c r="N31" i="2"/>
  <c r="N30" i="2"/>
  <c r="N29" i="2"/>
  <c r="N28" i="2"/>
  <c r="R40" i="2"/>
  <c r="Q40" i="2"/>
  <c r="R39" i="2"/>
  <c r="S39" i="2" s="1"/>
  <c r="Q39" i="2"/>
  <c r="R38" i="2"/>
  <c r="Q38" i="2"/>
  <c r="R37" i="2"/>
  <c r="S37" i="2" s="1"/>
  <c r="Q37" i="2"/>
  <c r="R36" i="2"/>
  <c r="Q36" i="2"/>
  <c r="R35" i="2"/>
  <c r="S35" i="2" s="1"/>
  <c r="Q35" i="2"/>
  <c r="R34" i="2"/>
  <c r="Q34" i="2"/>
  <c r="R33" i="2"/>
  <c r="Q33" i="2"/>
  <c r="R32" i="2"/>
  <c r="Q32" i="2"/>
  <c r="R31" i="2"/>
  <c r="Q31" i="2"/>
  <c r="R30" i="2"/>
  <c r="Q30" i="2"/>
  <c r="R29" i="2"/>
  <c r="S29" i="2" s="1"/>
  <c r="Q29" i="2"/>
  <c r="R28" i="2"/>
  <c r="Q28" i="2"/>
  <c r="R27" i="2"/>
  <c r="Q27" i="2"/>
  <c r="V38" i="4"/>
  <c r="V34" i="4"/>
  <c r="V30" i="4"/>
  <c r="V28" i="4"/>
  <c r="V38" i="2"/>
  <c r="V30" i="2"/>
  <c r="S40" i="2"/>
  <c r="S36" i="2"/>
  <c r="S28" i="2"/>
  <c r="S40" i="4"/>
  <c r="S39" i="4"/>
  <c r="V37" i="4"/>
  <c r="U37" i="4" s="1"/>
  <c r="V36" i="4"/>
  <c r="V33" i="4"/>
  <c r="V32" i="4"/>
  <c r="V29" i="4"/>
  <c r="U29" i="4" s="1"/>
  <c r="AD28" i="4"/>
  <c r="AD29" i="4" s="1"/>
  <c r="AD30" i="4" s="1"/>
  <c r="AD31" i="4" s="1"/>
  <c r="AD32" i="4" s="1"/>
  <c r="AD33" i="4" s="1"/>
  <c r="AD34" i="4" s="1"/>
  <c r="AD35" i="4" s="1"/>
  <c r="AD36" i="4" s="1"/>
  <c r="AD37" i="4" s="1"/>
  <c r="AD38" i="4" s="1"/>
  <c r="AD39" i="4" s="1"/>
  <c r="AD40" i="4" s="1"/>
  <c r="V27" i="4"/>
  <c r="U27" i="4" s="1"/>
  <c r="F40" i="2"/>
  <c r="V40" i="2"/>
  <c r="V39" i="2"/>
  <c r="F36" i="2"/>
  <c r="V35" i="2"/>
  <c r="U35" i="2" s="1"/>
  <c r="V34" i="2"/>
  <c r="U34" i="2" s="1"/>
  <c r="S33" i="2"/>
  <c r="S32" i="2"/>
  <c r="F32" i="2"/>
  <c r="V32" i="2"/>
  <c r="V31" i="2"/>
  <c r="U31" i="2" s="1"/>
  <c r="F30" i="2"/>
  <c r="F29" i="2"/>
  <c r="F28" i="2"/>
  <c r="V28" i="2"/>
  <c r="AD28" i="2"/>
  <c r="AD29" i="2" s="1"/>
  <c r="AD30" i="2" s="1"/>
  <c r="AD31" i="2" s="1"/>
  <c r="AD32" i="2" s="1"/>
  <c r="AD33" i="2" s="1"/>
  <c r="AD34" i="2" s="1"/>
  <c r="AD35" i="2" s="1"/>
  <c r="AD36" i="2" s="1"/>
  <c r="AD37" i="2" s="1"/>
  <c r="AD38" i="2" s="1"/>
  <c r="AD39" i="2" s="1"/>
  <c r="AD40" i="2" s="1"/>
  <c r="V27" i="2"/>
  <c r="U27" i="2" s="1"/>
  <c r="O5" i="3"/>
  <c r="H2" i="3"/>
  <c r="H2" i="5"/>
  <c r="O5" i="5"/>
  <c r="U40" i="2" l="1"/>
  <c r="V33" i="2"/>
  <c r="U33" i="2" s="1"/>
  <c r="U34" i="4"/>
  <c r="V29" i="2"/>
  <c r="U29" i="2" s="1"/>
  <c r="F39" i="2"/>
  <c r="Y39" i="2" s="1"/>
  <c r="U38" i="4"/>
  <c r="F35" i="2"/>
  <c r="U38" i="2"/>
  <c r="U30" i="4"/>
  <c r="X31" i="4"/>
  <c r="W31" i="4" s="1"/>
  <c r="I31" i="4" s="1"/>
  <c r="X33" i="4"/>
  <c r="U35" i="4"/>
  <c r="V39" i="4"/>
  <c r="U39" i="4" s="1"/>
  <c r="U28" i="4"/>
  <c r="U33" i="4"/>
  <c r="V40" i="4"/>
  <c r="U32" i="4"/>
  <c r="H32" i="4" s="1"/>
  <c r="U36" i="4"/>
  <c r="D39" i="4"/>
  <c r="D40" i="4"/>
  <c r="S34" i="2"/>
  <c r="F34" i="2"/>
  <c r="U30" i="2"/>
  <c r="U32" i="2"/>
  <c r="H32" i="2" s="1"/>
  <c r="F37" i="2"/>
  <c r="E37" i="2" s="1"/>
  <c r="U28" i="2"/>
  <c r="E29" i="2"/>
  <c r="S31" i="2"/>
  <c r="F31" i="2"/>
  <c r="Y31" i="2" s="1"/>
  <c r="E32" i="2"/>
  <c r="X31" i="2"/>
  <c r="X33" i="2"/>
  <c r="Z32" i="2"/>
  <c r="F33" i="2"/>
  <c r="E33" i="2" s="1"/>
  <c r="V36" i="2"/>
  <c r="U36" i="2" s="1"/>
  <c r="U37" i="2"/>
  <c r="U39" i="2"/>
  <c r="E40" i="2"/>
  <c r="W31" i="2"/>
  <c r="I31" i="2" s="1"/>
  <c r="S27" i="2"/>
  <c r="F27" i="2"/>
  <c r="E28" i="2"/>
  <c r="S30" i="2"/>
  <c r="E30" i="2" s="1"/>
  <c r="Y37" i="2"/>
  <c r="Y30" i="2"/>
  <c r="Y40" i="2"/>
  <c r="Y36" i="2"/>
  <c r="Y29" i="2"/>
  <c r="E36" i="2"/>
  <c r="S38" i="2"/>
  <c r="F38" i="2"/>
  <c r="E38" i="2" s="1"/>
  <c r="E39" i="2"/>
  <c r="L26" i="3"/>
  <c r="L27" i="3"/>
  <c r="L28" i="3"/>
  <c r="L29" i="3"/>
  <c r="L30" i="3"/>
  <c r="L31" i="3"/>
  <c r="L32" i="3"/>
  <c r="L33" i="3"/>
  <c r="J32" i="2" l="1"/>
  <c r="W32" i="4"/>
  <c r="I32" i="4" s="1"/>
  <c r="Y33" i="2"/>
  <c r="E35" i="2"/>
  <c r="D35" i="2" s="1"/>
  <c r="Y35" i="2"/>
  <c r="X34" i="4"/>
  <c r="X30" i="4"/>
  <c r="H33" i="4"/>
  <c r="U40" i="4"/>
  <c r="H31" i="4"/>
  <c r="W33" i="4"/>
  <c r="I33" i="4" s="1"/>
  <c r="D30" i="2"/>
  <c r="X34" i="2"/>
  <c r="Z33" i="2"/>
  <c r="W33" i="2"/>
  <c r="I33" i="2" s="1"/>
  <c r="D28" i="2"/>
  <c r="X30" i="2"/>
  <c r="Z31" i="2"/>
  <c r="D29" i="2"/>
  <c r="W32" i="2"/>
  <c r="I32" i="2" s="1"/>
  <c r="D39" i="2"/>
  <c r="D36" i="2"/>
  <c r="Y27" i="2"/>
  <c r="E27" i="2"/>
  <c r="D40" i="2"/>
  <c r="D33" i="2"/>
  <c r="AC33" i="2" s="1"/>
  <c r="D32" i="2"/>
  <c r="AC32" i="2" s="1"/>
  <c r="E34" i="2"/>
  <c r="Y34" i="2"/>
  <c r="D38" i="2"/>
  <c r="H33" i="2"/>
  <c r="J33" i="2" s="1"/>
  <c r="Y38" i="2"/>
  <c r="E31" i="2"/>
  <c r="D37" i="2"/>
  <c r="H31" i="2"/>
  <c r="J31" i="2" s="1"/>
  <c r="X29" i="4" l="1"/>
  <c r="W30" i="4"/>
  <c r="I30" i="4" s="1"/>
  <c r="H30" i="4"/>
  <c r="X35" i="4"/>
  <c r="H34" i="4"/>
  <c r="W34" i="4"/>
  <c r="I34" i="4" s="1"/>
  <c r="AB33" i="2"/>
  <c r="G33" i="2"/>
  <c r="AA33" i="2"/>
  <c r="Z34" i="2"/>
  <c r="X35" i="2"/>
  <c r="W34" i="2"/>
  <c r="I34" i="2" s="1"/>
  <c r="H34" i="2"/>
  <c r="J34" i="2" s="1"/>
  <c r="D34" i="2"/>
  <c r="AC34" i="2" s="1"/>
  <c r="D27" i="2"/>
  <c r="Z30" i="2"/>
  <c r="AC30" i="2" s="1"/>
  <c r="X29" i="2"/>
  <c r="W30" i="2"/>
  <c r="I30" i="2" s="1"/>
  <c r="D31" i="2"/>
  <c r="AC31" i="2" s="1"/>
  <c r="H30" i="2"/>
  <c r="AA32" i="2"/>
  <c r="G32" i="2"/>
  <c r="AB32" i="2"/>
  <c r="X36" i="4" l="1"/>
  <c r="W35" i="4"/>
  <c r="I35" i="4" s="1"/>
  <c r="H35" i="4"/>
  <c r="X28" i="4"/>
  <c r="W29" i="4"/>
  <c r="I29" i="4" s="1"/>
  <c r="H29" i="4"/>
  <c r="AB34" i="2"/>
  <c r="G34" i="2"/>
  <c r="AA34" i="2"/>
  <c r="AB31" i="2"/>
  <c r="G31" i="2"/>
  <c r="AA31" i="2"/>
  <c r="AE32" i="2"/>
  <c r="K32" i="2"/>
  <c r="L32" i="2" s="1"/>
  <c r="AB30" i="2"/>
  <c r="G30" i="2"/>
  <c r="Z35" i="2"/>
  <c r="AC35" i="2" s="1"/>
  <c r="X36" i="2"/>
  <c r="H35" i="2"/>
  <c r="J35" i="2" s="1"/>
  <c r="W35" i="2"/>
  <c r="I35" i="2" s="1"/>
  <c r="J30" i="2"/>
  <c r="AA30" i="2" s="1"/>
  <c r="Z29" i="2"/>
  <c r="AC29" i="2" s="1"/>
  <c r="X28" i="2"/>
  <c r="W29" i="2"/>
  <c r="I29" i="2" s="1"/>
  <c r="H29" i="2"/>
  <c r="K33" i="2"/>
  <c r="L33" i="2" s="1"/>
  <c r="J29" i="2" l="1"/>
  <c r="AA29" i="2" s="1"/>
  <c r="K34" i="2"/>
  <c r="L34" i="2" s="1"/>
  <c r="X27" i="4"/>
  <c r="W28" i="4"/>
  <c r="I28" i="4" s="1"/>
  <c r="H28" i="4"/>
  <c r="X37" i="4"/>
  <c r="W36" i="4"/>
  <c r="I36" i="4" s="1"/>
  <c r="H36" i="4"/>
  <c r="AA35" i="2"/>
  <c r="AB35" i="2"/>
  <c r="G35" i="2"/>
  <c r="K31" i="2"/>
  <c r="L31" i="2" s="1"/>
  <c r="X27" i="2"/>
  <c r="Z28" i="2"/>
  <c r="AC28" i="2" s="1"/>
  <c r="W28" i="2"/>
  <c r="I28" i="2" s="1"/>
  <c r="H28" i="2"/>
  <c r="AB29" i="2"/>
  <c r="G29" i="2"/>
  <c r="Z36" i="2"/>
  <c r="AC36" i="2" s="1"/>
  <c r="X37" i="2"/>
  <c r="H36" i="2"/>
  <c r="J36" i="2" s="1"/>
  <c r="W36" i="2"/>
  <c r="I36" i="2" s="1"/>
  <c r="K30" i="2"/>
  <c r="L30" i="2" s="1"/>
  <c r="AD86" i="4"/>
  <c r="O15" i="5"/>
  <c r="N15" i="5"/>
  <c r="O11" i="5"/>
  <c r="N11" i="5"/>
  <c r="O33" i="5"/>
  <c r="N33" i="5"/>
  <c r="M33" i="5"/>
  <c r="N11" i="3"/>
  <c r="O11" i="3"/>
  <c r="N15" i="3"/>
  <c r="O15" i="3"/>
  <c r="N19" i="3"/>
  <c r="O19" i="3"/>
  <c r="N22" i="3"/>
  <c r="O22" i="3"/>
  <c r="N23" i="3"/>
  <c r="O23" i="3"/>
  <c r="N24" i="3"/>
  <c r="O24" i="3"/>
  <c r="N25" i="3"/>
  <c r="O25" i="3"/>
  <c r="N26" i="3"/>
  <c r="O26" i="3"/>
  <c r="N27" i="3"/>
  <c r="O27" i="3"/>
  <c r="N28" i="3"/>
  <c r="O28" i="3"/>
  <c r="N29" i="3"/>
  <c r="O29" i="3"/>
  <c r="N30" i="3"/>
  <c r="O30" i="3"/>
  <c r="N31" i="3"/>
  <c r="O31" i="3"/>
  <c r="N32" i="3"/>
  <c r="O32" i="3"/>
  <c r="N33" i="3"/>
  <c r="O33" i="3"/>
  <c r="K35" i="2" l="1"/>
  <c r="L35" i="2" s="1"/>
  <c r="K29" i="2"/>
  <c r="L29" i="2" s="1"/>
  <c r="W27" i="4"/>
  <c r="I27" i="4" s="1"/>
  <c r="H27" i="4"/>
  <c r="X38" i="4"/>
  <c r="W37" i="4"/>
  <c r="I37" i="4" s="1"/>
  <c r="H37" i="4"/>
  <c r="AA36" i="2"/>
  <c r="AB36" i="2"/>
  <c r="G36" i="2"/>
  <c r="J28" i="2"/>
  <c r="AA28" i="2" s="1"/>
  <c r="G28" i="2"/>
  <c r="AB28" i="2"/>
  <c r="X38" i="2"/>
  <c r="Z37" i="2"/>
  <c r="AC37" i="2" s="1"/>
  <c r="W37" i="2"/>
  <c r="I37" i="2" s="1"/>
  <c r="H37" i="2"/>
  <c r="Z27" i="2"/>
  <c r="AC27" i="2" s="1"/>
  <c r="H27" i="2"/>
  <c r="W27" i="2"/>
  <c r="I27" i="2" s="1"/>
  <c r="N14" i="5"/>
  <c r="O14" i="5"/>
  <c r="N19" i="5"/>
  <c r="O19" i="5"/>
  <c r="N22" i="5"/>
  <c r="O22" i="5"/>
  <c r="N23" i="5"/>
  <c r="O23" i="5"/>
  <c r="N24" i="5"/>
  <c r="O24" i="5"/>
  <c r="N25" i="5"/>
  <c r="O25" i="5"/>
  <c r="N26" i="5"/>
  <c r="O26" i="5"/>
  <c r="N27" i="5"/>
  <c r="O27" i="5"/>
  <c r="N28" i="5"/>
  <c r="O28" i="5"/>
  <c r="N29" i="5"/>
  <c r="O29" i="5"/>
  <c r="N30" i="5"/>
  <c r="O30" i="5"/>
  <c r="N31" i="5"/>
  <c r="O31" i="5"/>
  <c r="N32" i="5"/>
  <c r="O32" i="5"/>
  <c r="J37" i="2" l="1"/>
  <c r="AA37" i="2" s="1"/>
  <c r="X39" i="4"/>
  <c r="H38" i="4"/>
  <c r="W38" i="4"/>
  <c r="I38" i="4" s="1"/>
  <c r="K36" i="2"/>
  <c r="L36" i="2" s="1"/>
  <c r="AB27" i="2"/>
  <c r="G27" i="2"/>
  <c r="X39" i="2"/>
  <c r="H38" i="2"/>
  <c r="Z38" i="2"/>
  <c r="AC38" i="2" s="1"/>
  <c r="W38" i="2"/>
  <c r="I38" i="2" s="1"/>
  <c r="K28" i="2"/>
  <c r="L28" i="2" s="1"/>
  <c r="J27" i="2"/>
  <c r="AA27" i="2" s="1"/>
  <c r="AB37" i="2"/>
  <c r="G37" i="2"/>
  <c r="N16" i="3"/>
  <c r="O16" i="5"/>
  <c r="N16" i="5"/>
  <c r="N9" i="1"/>
  <c r="O9" i="1"/>
  <c r="J38" i="2" l="1"/>
  <c r="Z39" i="4"/>
  <c r="AC39" i="4" s="1"/>
  <c r="X40" i="4"/>
  <c r="H39" i="4"/>
  <c r="W39" i="4"/>
  <c r="I39" i="4" s="1"/>
  <c r="Z39" i="2"/>
  <c r="AC39" i="2" s="1"/>
  <c r="X40" i="2"/>
  <c r="W39" i="2"/>
  <c r="I39" i="2" s="1"/>
  <c r="H39" i="2"/>
  <c r="K37" i="2"/>
  <c r="L37" i="2" s="1"/>
  <c r="AB38" i="2"/>
  <c r="G38" i="2"/>
  <c r="AA38" i="2"/>
  <c r="K27" i="2"/>
  <c r="L27" i="2" s="1"/>
  <c r="O9" i="3"/>
  <c r="O9" i="5" s="1"/>
  <c r="N9" i="3"/>
  <c r="N9" i="5" s="1"/>
  <c r="O16" i="3"/>
  <c r="F9" i="2"/>
  <c r="AC86" i="4"/>
  <c r="V100" i="4"/>
  <c r="S100" i="4"/>
  <c r="V100" i="2"/>
  <c r="S100" i="2"/>
  <c r="I9" i="2"/>
  <c r="J7" i="4"/>
  <c r="J8" i="4"/>
  <c r="K38" i="2" l="1"/>
  <c r="L38" i="2" s="1"/>
  <c r="J39" i="2"/>
  <c r="J39" i="4"/>
  <c r="AA39" i="4" s="1"/>
  <c r="Z40" i="4"/>
  <c r="AC40" i="4" s="1"/>
  <c r="W40" i="4"/>
  <c r="I40" i="4" s="1"/>
  <c r="H40" i="4"/>
  <c r="J40" i="4" s="1"/>
  <c r="AB39" i="4"/>
  <c r="K39" i="4" s="1"/>
  <c r="L39" i="4" s="1"/>
  <c r="G39" i="4"/>
  <c r="AA39" i="2"/>
  <c r="AB39" i="2"/>
  <c r="G39" i="2"/>
  <c r="Z40" i="2"/>
  <c r="AC40" i="2" s="1"/>
  <c r="W40" i="2"/>
  <c r="I40" i="2" s="1"/>
  <c r="H40" i="2"/>
  <c r="J40" i="2" s="1"/>
  <c r="N12" i="3"/>
  <c r="N13" i="3" s="1"/>
  <c r="N18" i="3" s="1"/>
  <c r="O39" i="2" s="1"/>
  <c r="O12" i="3"/>
  <c r="O13" i="3" s="1"/>
  <c r="O18" i="3" s="1"/>
  <c r="O40" i="2" s="1"/>
  <c r="K39" i="2" l="1"/>
  <c r="L39" i="2" s="1"/>
  <c r="AB40" i="4"/>
  <c r="K40" i="4" s="1"/>
  <c r="L40" i="4" s="1"/>
  <c r="G40" i="4"/>
  <c r="AA40" i="4"/>
  <c r="AB40" i="2"/>
  <c r="K40" i="2" s="1"/>
  <c r="L40" i="2" s="1"/>
  <c r="G40" i="2"/>
  <c r="AA40" i="2"/>
  <c r="N21" i="3"/>
  <c r="N21" i="5" s="1"/>
  <c r="N8" i="1" l="1"/>
  <c r="N8" i="3" s="1"/>
  <c r="N8" i="5" s="1"/>
  <c r="C8" i="1"/>
  <c r="C8" i="3" s="1"/>
  <c r="C8" i="5" s="1"/>
  <c r="B20" i="5"/>
  <c r="Q11" i="4"/>
  <c r="Q12" i="4"/>
  <c r="Q13" i="4"/>
  <c r="Q14" i="4"/>
  <c r="Q15" i="4"/>
  <c r="P10" i="4"/>
  <c r="P11" i="4"/>
  <c r="C11" i="4" s="1"/>
  <c r="P12" i="4"/>
  <c r="C12" i="4" s="1"/>
  <c r="P13" i="4"/>
  <c r="C13" i="4" s="1"/>
  <c r="P14" i="4"/>
  <c r="C14" i="4" s="1"/>
  <c r="P15" i="4"/>
  <c r="C15" i="4" s="1"/>
  <c r="P9" i="4"/>
  <c r="F9" i="4"/>
  <c r="C10" i="1"/>
  <c r="D10" i="1" s="1"/>
  <c r="V12" i="3" s="1"/>
  <c r="D10" i="5" s="1"/>
  <c r="F92" i="6"/>
  <c r="F71" i="6"/>
  <c r="F50" i="6"/>
  <c r="H27" i="6"/>
  <c r="H28" i="6" s="1"/>
  <c r="H29" i="6" s="1"/>
  <c r="H30" i="6" s="1"/>
  <c r="H31" i="6" s="1"/>
  <c r="H32" i="6" s="1"/>
  <c r="H33" i="6" s="1"/>
  <c r="H34" i="6" s="1"/>
  <c r="H35" i="6" s="1"/>
  <c r="H36" i="6" s="1"/>
  <c r="H37" i="6" s="1"/>
  <c r="H38" i="6" s="1"/>
  <c r="H39" i="6" s="1"/>
  <c r="H40" i="6" s="1"/>
  <c r="H41" i="6" s="1"/>
  <c r="H42" i="6" s="1"/>
  <c r="H43" i="6" s="1"/>
  <c r="H44" i="6" s="1"/>
  <c r="H45" i="6" s="1"/>
  <c r="H46" i="6" s="1"/>
  <c r="H47" i="6" s="1"/>
  <c r="H48" i="6" s="1"/>
  <c r="H19" i="6"/>
  <c r="H20" i="6" s="1"/>
  <c r="B13" i="6"/>
  <c r="L33" i="5"/>
  <c r="K33" i="5"/>
  <c r="J33" i="5"/>
  <c r="I33" i="5"/>
  <c r="H33" i="5"/>
  <c r="G33" i="5"/>
  <c r="F33" i="5"/>
  <c r="E33" i="5"/>
  <c r="D33" i="5"/>
  <c r="C33" i="5"/>
  <c r="B33" i="5"/>
  <c r="M14" i="5"/>
  <c r="L14" i="5"/>
  <c r="K14" i="5"/>
  <c r="J14" i="5"/>
  <c r="I14" i="5"/>
  <c r="H14" i="5"/>
  <c r="G14" i="5"/>
  <c r="F14" i="5"/>
  <c r="E14" i="5"/>
  <c r="D14" i="5"/>
  <c r="C14" i="5"/>
  <c r="B14" i="5"/>
  <c r="B72" i="5" s="1"/>
  <c r="A10" i="5"/>
  <c r="K150" i="4"/>
  <c r="G145" i="4"/>
  <c r="D148" i="4" s="1"/>
  <c r="M140" i="4"/>
  <c r="A136" i="4"/>
  <c r="L84" i="4"/>
  <c r="H84" i="4"/>
  <c r="F84" i="4"/>
  <c r="M81" i="4"/>
  <c r="G83" i="4" s="1"/>
  <c r="F81" i="4"/>
  <c r="F83" i="4" s="1"/>
  <c r="M77" i="4"/>
  <c r="M25" i="4"/>
  <c r="M24" i="4"/>
  <c r="N23" i="4"/>
  <c r="G23" i="4"/>
  <c r="F23" i="4"/>
  <c r="K17" i="4"/>
  <c r="F17" i="4"/>
  <c r="N15" i="4"/>
  <c r="K15" i="4"/>
  <c r="I15" i="4"/>
  <c r="K149" i="4" s="1"/>
  <c r="F15" i="4"/>
  <c r="L13" i="4"/>
  <c r="H150" i="4" s="1"/>
  <c r="G13" i="4"/>
  <c r="J12" i="4"/>
  <c r="N11" i="4"/>
  <c r="J11" i="4"/>
  <c r="K146" i="4" s="1"/>
  <c r="G11" i="4"/>
  <c r="K147" i="4" s="1"/>
  <c r="M9" i="4"/>
  <c r="I9" i="4"/>
  <c r="C8" i="4"/>
  <c r="K148" i="4" s="1"/>
  <c r="M7" i="4"/>
  <c r="H7" i="4"/>
  <c r="M3" i="4"/>
  <c r="M1" i="4"/>
  <c r="M33" i="3"/>
  <c r="K33" i="3"/>
  <c r="J33" i="3"/>
  <c r="I33" i="3"/>
  <c r="H33" i="3"/>
  <c r="G33" i="3"/>
  <c r="F33" i="3"/>
  <c r="E33" i="3"/>
  <c r="D33" i="3"/>
  <c r="C33" i="3"/>
  <c r="B33" i="3"/>
  <c r="H32" i="3"/>
  <c r="H32" i="5" s="1"/>
  <c r="D27" i="3"/>
  <c r="D27" i="5" s="1"/>
  <c r="H15" i="3"/>
  <c r="B14" i="3"/>
  <c r="B72" i="3" s="1"/>
  <c r="H11" i="3"/>
  <c r="H77" i="3" s="1"/>
  <c r="K150" i="2"/>
  <c r="H150" i="2"/>
  <c r="K149" i="2"/>
  <c r="K148" i="2"/>
  <c r="K147" i="2"/>
  <c r="K146" i="2"/>
  <c r="G145" i="2"/>
  <c r="D148" i="2" s="1"/>
  <c r="A136" i="2"/>
  <c r="L84" i="2"/>
  <c r="H84" i="2"/>
  <c r="F84" i="2"/>
  <c r="M81" i="2"/>
  <c r="F81" i="2"/>
  <c r="E148" i="2" s="1"/>
  <c r="M25" i="2"/>
  <c r="M24" i="2"/>
  <c r="N23" i="2"/>
  <c r="G23" i="2"/>
  <c r="F23" i="2"/>
  <c r="C15" i="2"/>
  <c r="C14" i="2"/>
  <c r="C13" i="2"/>
  <c r="C12" i="2"/>
  <c r="C11" i="2"/>
  <c r="M4" i="2"/>
  <c r="M4" i="4" s="1"/>
  <c r="D74" i="4" s="1"/>
  <c r="J74" i="4" s="1"/>
  <c r="N74" i="4" s="1"/>
  <c r="M2" i="2"/>
  <c r="M2" i="4" s="1"/>
  <c r="M1" i="2"/>
  <c r="K32" i="3"/>
  <c r="K32" i="5" s="1"/>
  <c r="J32" i="3"/>
  <c r="J32" i="5" s="1"/>
  <c r="I32" i="3"/>
  <c r="I32" i="5" s="1"/>
  <c r="F32" i="3"/>
  <c r="F32" i="5" s="1"/>
  <c r="E32" i="3"/>
  <c r="E32" i="5" s="1"/>
  <c r="D32" i="3"/>
  <c r="D32" i="5" s="1"/>
  <c r="C32" i="3"/>
  <c r="C32" i="5" s="1"/>
  <c r="B32" i="3"/>
  <c r="B32" i="5" s="1"/>
  <c r="M31" i="3"/>
  <c r="M31" i="5" s="1"/>
  <c r="L31" i="5"/>
  <c r="K31" i="3"/>
  <c r="K31" i="5" s="1"/>
  <c r="J31" i="3"/>
  <c r="J31" i="5" s="1"/>
  <c r="I31" i="3"/>
  <c r="I31" i="5" s="1"/>
  <c r="H31" i="3"/>
  <c r="H31" i="5" s="1"/>
  <c r="F31" i="3"/>
  <c r="F31" i="5" s="1"/>
  <c r="E31" i="3"/>
  <c r="E31" i="5" s="1"/>
  <c r="D31" i="3"/>
  <c r="D31" i="5" s="1"/>
  <c r="C31" i="3"/>
  <c r="C31" i="5" s="1"/>
  <c r="B31" i="3"/>
  <c r="B31" i="5" s="1"/>
  <c r="M30" i="3"/>
  <c r="M30" i="5" s="1"/>
  <c r="L30" i="5"/>
  <c r="K30" i="3"/>
  <c r="K30" i="5" s="1"/>
  <c r="J30" i="3"/>
  <c r="J30" i="5" s="1"/>
  <c r="I30" i="3"/>
  <c r="I30" i="5" s="1"/>
  <c r="H30" i="3"/>
  <c r="H30" i="5" s="1"/>
  <c r="F30" i="3"/>
  <c r="F30" i="5" s="1"/>
  <c r="E30" i="3"/>
  <c r="E30" i="5" s="1"/>
  <c r="D30" i="3"/>
  <c r="D30" i="5" s="1"/>
  <c r="C30" i="3"/>
  <c r="C30" i="5" s="1"/>
  <c r="B30" i="3"/>
  <c r="B30" i="5" s="1"/>
  <c r="M29" i="3"/>
  <c r="M29" i="5" s="1"/>
  <c r="L29" i="5"/>
  <c r="K29" i="3"/>
  <c r="K29" i="5" s="1"/>
  <c r="J29" i="3"/>
  <c r="J29" i="5" s="1"/>
  <c r="I29" i="3"/>
  <c r="I29" i="5" s="1"/>
  <c r="H29" i="3"/>
  <c r="H29" i="5" s="1"/>
  <c r="F29" i="3"/>
  <c r="F29" i="5" s="1"/>
  <c r="E29" i="3"/>
  <c r="E29" i="5" s="1"/>
  <c r="D29" i="3"/>
  <c r="D29" i="5" s="1"/>
  <c r="C29" i="3"/>
  <c r="C29" i="5" s="1"/>
  <c r="B29" i="3"/>
  <c r="B29" i="5" s="1"/>
  <c r="M28" i="3"/>
  <c r="M28" i="5" s="1"/>
  <c r="L28" i="5"/>
  <c r="K28" i="3"/>
  <c r="K28" i="5" s="1"/>
  <c r="J28" i="3"/>
  <c r="J28" i="5" s="1"/>
  <c r="I28" i="3"/>
  <c r="I28" i="5" s="1"/>
  <c r="H28" i="3"/>
  <c r="H28" i="5" s="1"/>
  <c r="F28" i="3"/>
  <c r="F28" i="5" s="1"/>
  <c r="E28" i="3"/>
  <c r="E28" i="5" s="1"/>
  <c r="D28" i="3"/>
  <c r="D28" i="5" s="1"/>
  <c r="C28" i="3"/>
  <c r="C28" i="5" s="1"/>
  <c r="B28" i="3"/>
  <c r="B28" i="5" s="1"/>
  <c r="M27" i="3"/>
  <c r="M27" i="5" s="1"/>
  <c r="L27" i="5"/>
  <c r="K27" i="3"/>
  <c r="K27" i="5" s="1"/>
  <c r="J27" i="3"/>
  <c r="J27" i="5" s="1"/>
  <c r="I27" i="3"/>
  <c r="I27" i="5" s="1"/>
  <c r="H27" i="3"/>
  <c r="H27" i="5" s="1"/>
  <c r="F27" i="3"/>
  <c r="F27" i="5" s="1"/>
  <c r="E27" i="3"/>
  <c r="E27" i="5" s="1"/>
  <c r="C27" i="3"/>
  <c r="C27" i="5" s="1"/>
  <c r="B27" i="3"/>
  <c r="B27" i="5" s="1"/>
  <c r="M26" i="3"/>
  <c r="M26" i="5" s="1"/>
  <c r="L26" i="5"/>
  <c r="K26" i="3"/>
  <c r="K26" i="5" s="1"/>
  <c r="J26" i="3"/>
  <c r="J26" i="5" s="1"/>
  <c r="I26" i="3"/>
  <c r="I26" i="5" s="1"/>
  <c r="H26" i="3"/>
  <c r="H26" i="5" s="1"/>
  <c r="F26" i="3"/>
  <c r="F26" i="5" s="1"/>
  <c r="E26" i="3"/>
  <c r="E26" i="5" s="1"/>
  <c r="D26" i="3"/>
  <c r="D26" i="5" s="1"/>
  <c r="C26" i="3"/>
  <c r="C26" i="5" s="1"/>
  <c r="B26" i="3"/>
  <c r="B26" i="5" s="1"/>
  <c r="M25" i="3"/>
  <c r="M25" i="5" s="1"/>
  <c r="L25" i="3"/>
  <c r="L25" i="5" s="1"/>
  <c r="K25" i="3"/>
  <c r="K25" i="5" s="1"/>
  <c r="J25" i="3"/>
  <c r="J25" i="5" s="1"/>
  <c r="I25" i="3"/>
  <c r="I25" i="5" s="1"/>
  <c r="H25" i="3"/>
  <c r="H25" i="5" s="1"/>
  <c r="F25" i="3"/>
  <c r="F25" i="5" s="1"/>
  <c r="E25" i="3"/>
  <c r="E25" i="5" s="1"/>
  <c r="D25" i="3"/>
  <c r="D25" i="5" s="1"/>
  <c r="C25" i="3"/>
  <c r="C25" i="5" s="1"/>
  <c r="B25" i="3"/>
  <c r="B25" i="5" s="1"/>
  <c r="M24" i="3"/>
  <c r="M24" i="5" s="1"/>
  <c r="L24" i="3"/>
  <c r="L24" i="5" s="1"/>
  <c r="K24" i="3"/>
  <c r="K24" i="5" s="1"/>
  <c r="J24" i="3"/>
  <c r="J24" i="5" s="1"/>
  <c r="I24" i="3"/>
  <c r="I24" i="5" s="1"/>
  <c r="H24" i="3"/>
  <c r="H24" i="5" s="1"/>
  <c r="F24" i="3"/>
  <c r="F24" i="5" s="1"/>
  <c r="E24" i="3"/>
  <c r="E24" i="5" s="1"/>
  <c r="D24" i="3"/>
  <c r="D24" i="5" s="1"/>
  <c r="C24" i="3"/>
  <c r="C24" i="5" s="1"/>
  <c r="B24" i="3"/>
  <c r="B24" i="5" s="1"/>
  <c r="M23" i="3"/>
  <c r="L23" i="3"/>
  <c r="K23" i="3"/>
  <c r="J23" i="3"/>
  <c r="I23" i="3"/>
  <c r="H23" i="3"/>
  <c r="F23" i="3"/>
  <c r="E23" i="3"/>
  <c r="D23" i="3"/>
  <c r="C23" i="3"/>
  <c r="B23" i="3"/>
  <c r="M22" i="3"/>
  <c r="M22" i="5" s="1"/>
  <c r="L22" i="3"/>
  <c r="L22" i="5" s="1"/>
  <c r="K22" i="3"/>
  <c r="K22" i="5" s="1"/>
  <c r="J22" i="3"/>
  <c r="J22" i="5" s="1"/>
  <c r="I22" i="3"/>
  <c r="I22" i="5" s="1"/>
  <c r="H22" i="3"/>
  <c r="H22" i="5" s="1"/>
  <c r="F22" i="3"/>
  <c r="F22" i="5" s="1"/>
  <c r="E22" i="3"/>
  <c r="E22" i="5" s="1"/>
  <c r="D22" i="3"/>
  <c r="D22" i="5" s="1"/>
  <c r="C22" i="3"/>
  <c r="C22" i="5" s="1"/>
  <c r="B22" i="3"/>
  <c r="B22" i="5" s="1"/>
  <c r="M21" i="3"/>
  <c r="M21" i="5" s="1"/>
  <c r="B21" i="3"/>
  <c r="B21" i="5" s="1"/>
  <c r="C19" i="3"/>
  <c r="C19" i="5" s="1"/>
  <c r="B19" i="3"/>
  <c r="B19" i="5" s="1"/>
  <c r="B11" i="6"/>
  <c r="B10" i="6"/>
  <c r="B9" i="6"/>
  <c r="K15" i="3"/>
  <c r="J15" i="3"/>
  <c r="I15" i="3"/>
  <c r="F15" i="3"/>
  <c r="E15" i="3"/>
  <c r="D15" i="3"/>
  <c r="C15" i="3"/>
  <c r="B15" i="3"/>
  <c r="B7" i="6"/>
  <c r="B6" i="6"/>
  <c r="B5" i="6"/>
  <c r="K11" i="3"/>
  <c r="K77" i="3" s="1"/>
  <c r="J11" i="3"/>
  <c r="I11" i="3"/>
  <c r="F11" i="3"/>
  <c r="E11" i="3"/>
  <c r="D11" i="3"/>
  <c r="C11" i="3"/>
  <c r="C77" i="3" s="1"/>
  <c r="B11" i="3"/>
  <c r="B10" i="3"/>
  <c r="B10" i="5" s="1"/>
  <c r="M9" i="1"/>
  <c r="L9" i="1"/>
  <c r="K9" i="1"/>
  <c r="J9" i="1"/>
  <c r="I9" i="1"/>
  <c r="H9" i="1"/>
  <c r="G9" i="1"/>
  <c r="F9" i="1"/>
  <c r="E9" i="1"/>
  <c r="D9" i="1"/>
  <c r="C9" i="1"/>
  <c r="B9" i="1"/>
  <c r="M8" i="1"/>
  <c r="M8" i="3" s="1"/>
  <c r="M8" i="5" s="1"/>
  <c r="B8" i="1"/>
  <c r="B8" i="3" s="1"/>
  <c r="B8" i="5" s="1"/>
  <c r="G2" i="1"/>
  <c r="E9" i="3" l="1"/>
  <c r="E9" i="5" s="1"/>
  <c r="M9" i="3"/>
  <c r="M9" i="5" s="1"/>
  <c r="B9" i="3"/>
  <c r="B9" i="5" s="1"/>
  <c r="F9" i="3"/>
  <c r="F9" i="5" s="1"/>
  <c r="J9" i="3"/>
  <c r="J9" i="5" s="1"/>
  <c r="C9" i="3"/>
  <c r="C9" i="5" s="1"/>
  <c r="K9" i="3"/>
  <c r="K9" i="5" s="1"/>
  <c r="D9" i="3"/>
  <c r="D9" i="5" s="1"/>
  <c r="H9" i="3"/>
  <c r="H9" i="5" s="1"/>
  <c r="L9" i="3"/>
  <c r="L9" i="5" s="1"/>
  <c r="D2" i="4"/>
  <c r="D76" i="4" s="1"/>
  <c r="O8" i="1"/>
  <c r="O8" i="3" s="1"/>
  <c r="O8" i="5" s="1"/>
  <c r="O21" i="3"/>
  <c r="O21" i="5" s="1"/>
  <c r="U12" i="3"/>
  <c r="C10" i="5" s="1"/>
  <c r="D10" i="3"/>
  <c r="C10" i="3"/>
  <c r="I145" i="4"/>
  <c r="G11" i="5"/>
  <c r="G77" i="5" s="1"/>
  <c r="I11" i="5"/>
  <c r="I77" i="5" s="1"/>
  <c r="E11" i="5"/>
  <c r="E77" i="5" s="1"/>
  <c r="I9" i="3"/>
  <c r="I9" i="5" s="1"/>
  <c r="I145" i="2"/>
  <c r="C21" i="3"/>
  <c r="C21" i="5" s="1"/>
  <c r="C14" i="3"/>
  <c r="D14" i="3" s="1"/>
  <c r="E14" i="3" s="1"/>
  <c r="F14" i="3" s="1"/>
  <c r="G14" i="3" s="1"/>
  <c r="H14" i="3" s="1"/>
  <c r="I14" i="3" s="1"/>
  <c r="J14" i="3" s="1"/>
  <c r="K14" i="3" s="1"/>
  <c r="L14" i="3" s="1"/>
  <c r="M14" i="3" s="1"/>
  <c r="N14" i="3" s="1"/>
  <c r="N83" i="2"/>
  <c r="F83" i="2"/>
  <c r="G83" i="2"/>
  <c r="H71" i="6"/>
  <c r="H92" i="6"/>
  <c r="H50" i="6"/>
  <c r="L27" i="6"/>
  <c r="E10" i="1"/>
  <c r="H64" i="3"/>
  <c r="D23" i="5"/>
  <c r="D64" i="3"/>
  <c r="D65" i="3"/>
  <c r="L23" i="5"/>
  <c r="D139" i="4"/>
  <c r="C145" i="4"/>
  <c r="D74" i="2"/>
  <c r="J74" i="2" s="1"/>
  <c r="N74" i="2" s="1"/>
  <c r="D77" i="3"/>
  <c r="L11" i="3"/>
  <c r="L15" i="3"/>
  <c r="B23" i="5"/>
  <c r="B65" i="3"/>
  <c r="B64" i="3"/>
  <c r="J23" i="5"/>
  <c r="J65" i="3"/>
  <c r="J64" i="3"/>
  <c r="L32" i="5"/>
  <c r="M78" i="2"/>
  <c r="B2" i="6"/>
  <c r="G9" i="3"/>
  <c r="G9" i="5" s="1"/>
  <c r="B23" i="6"/>
  <c r="G30" i="3"/>
  <c r="G30" i="5" s="1"/>
  <c r="E77" i="3"/>
  <c r="M11" i="3"/>
  <c r="M15" i="3"/>
  <c r="C23" i="5"/>
  <c r="C65" i="3"/>
  <c r="C64" i="3"/>
  <c r="K23" i="5"/>
  <c r="K65" i="3"/>
  <c r="K64" i="3"/>
  <c r="B18" i="6"/>
  <c r="G25" i="3"/>
  <c r="G25" i="5" s="1"/>
  <c r="B22" i="6"/>
  <c r="G29" i="3"/>
  <c r="G29" i="5" s="1"/>
  <c r="M32" i="3"/>
  <c r="M32" i="5" s="1"/>
  <c r="B15" i="6"/>
  <c r="G22" i="3"/>
  <c r="G22" i="5" s="1"/>
  <c r="G26" i="3"/>
  <c r="G26" i="5" s="1"/>
  <c r="F77" i="3"/>
  <c r="B4" i="6"/>
  <c r="G11" i="3"/>
  <c r="B8" i="6"/>
  <c r="G15" i="3"/>
  <c r="E23" i="5"/>
  <c r="E64" i="3"/>
  <c r="E65" i="3"/>
  <c r="M23" i="5"/>
  <c r="B17" i="6"/>
  <c r="G24" i="3"/>
  <c r="G24" i="5" s="1"/>
  <c r="B21" i="6"/>
  <c r="G28" i="3"/>
  <c r="G28" i="5" s="1"/>
  <c r="B25" i="6"/>
  <c r="L3" i="6" s="1"/>
  <c r="G32" i="3"/>
  <c r="G32" i="5" s="1"/>
  <c r="F23" i="5"/>
  <c r="F64" i="3"/>
  <c r="F65" i="3"/>
  <c r="I77" i="3"/>
  <c r="B16" i="6"/>
  <c r="O24" i="6" s="1"/>
  <c r="G23" i="3"/>
  <c r="B20" i="6"/>
  <c r="G27" i="3"/>
  <c r="G27" i="5" s="1"/>
  <c r="B24" i="6"/>
  <c r="G31" i="3"/>
  <c r="G31" i="5" s="1"/>
  <c r="D2" i="2"/>
  <c r="D76" i="2" s="1"/>
  <c r="I65" i="3"/>
  <c r="I23" i="5"/>
  <c r="I64" i="3"/>
  <c r="B77" i="3"/>
  <c r="J77" i="3"/>
  <c r="H23" i="5"/>
  <c r="H65" i="3"/>
  <c r="E148" i="4"/>
  <c r="N83" i="4"/>
  <c r="H21" i="6"/>
  <c r="F51" i="6"/>
  <c r="F72" i="6"/>
  <c r="AD87" i="2" l="1"/>
  <c r="N87" i="4"/>
  <c r="B87" i="4"/>
  <c r="V87" i="4"/>
  <c r="X87" i="4"/>
  <c r="AD87" i="4"/>
  <c r="C87" i="4"/>
  <c r="U87" i="4"/>
  <c r="W87" i="4"/>
  <c r="O12" i="5"/>
  <c r="N12" i="5"/>
  <c r="O14" i="3"/>
  <c r="O17" i="3" s="1"/>
  <c r="P40" i="2" s="1"/>
  <c r="N17" i="3"/>
  <c r="P39" i="2" s="1"/>
  <c r="Q87" i="2"/>
  <c r="N87" i="2"/>
  <c r="F87" i="2"/>
  <c r="S87" i="2"/>
  <c r="R87" i="2"/>
  <c r="V87" i="2"/>
  <c r="C87" i="2"/>
  <c r="B87" i="2"/>
  <c r="U87" i="2"/>
  <c r="H61" i="6"/>
  <c r="D8" i="1"/>
  <c r="D8" i="3" s="1"/>
  <c r="D8" i="5" s="1"/>
  <c r="D21" i="3"/>
  <c r="D21" i="5" s="1"/>
  <c r="H72" i="6"/>
  <c r="H73" i="6" s="1"/>
  <c r="H74" i="6" s="1"/>
  <c r="H51" i="6"/>
  <c r="H52" i="6" s="1"/>
  <c r="E10" i="3"/>
  <c r="E10" i="5" s="1"/>
  <c r="F10" i="1"/>
  <c r="M64" i="3"/>
  <c r="D16" i="3"/>
  <c r="L64" i="3"/>
  <c r="F52" i="6"/>
  <c r="I65" i="5"/>
  <c r="G23" i="5"/>
  <c r="G64" i="3"/>
  <c r="G65" i="3"/>
  <c r="F65" i="5"/>
  <c r="U72" i="6"/>
  <c r="B65" i="5"/>
  <c r="I16" i="3"/>
  <c r="L65" i="5"/>
  <c r="M77" i="3"/>
  <c r="D19" i="3"/>
  <c r="D19" i="5" s="1"/>
  <c r="H11" i="5"/>
  <c r="H77" i="5" s="1"/>
  <c r="J16" i="3"/>
  <c r="L4" i="6"/>
  <c r="O4" i="6" s="1"/>
  <c r="K65" i="5"/>
  <c r="H65" i="5"/>
  <c r="E65" i="5"/>
  <c r="M78" i="4"/>
  <c r="M141" i="2"/>
  <c r="M141" i="4" s="1"/>
  <c r="L16" i="3"/>
  <c r="G15" i="5"/>
  <c r="F73" i="6"/>
  <c r="G77" i="3"/>
  <c r="O74" i="6"/>
  <c r="O72" i="6"/>
  <c r="O73" i="6"/>
  <c r="O19" i="6"/>
  <c r="O22" i="6"/>
  <c r="O75" i="6"/>
  <c r="O27" i="6"/>
  <c r="O23" i="6"/>
  <c r="O18" i="6"/>
  <c r="O3" i="6"/>
  <c r="O21" i="6"/>
  <c r="O20" i="6"/>
  <c r="C65" i="5"/>
  <c r="C145" i="2"/>
  <c r="D139" i="2"/>
  <c r="M65" i="3"/>
  <c r="M16" i="3"/>
  <c r="K16" i="3"/>
  <c r="H16" i="3"/>
  <c r="H22" i="6"/>
  <c r="B26" i="6"/>
  <c r="B19" i="6" s="1"/>
  <c r="J65" i="5"/>
  <c r="B16" i="3"/>
  <c r="D65" i="5"/>
  <c r="L77" i="3"/>
  <c r="L65" i="3"/>
  <c r="F16" i="3"/>
  <c r="E16" i="3"/>
  <c r="C16" i="3"/>
  <c r="H15" i="5"/>
  <c r="H64" i="5" s="1"/>
  <c r="R101" i="2" l="1"/>
  <c r="R100" i="2"/>
  <c r="H62" i="6"/>
  <c r="E8" i="1"/>
  <c r="E8" i="3" s="1"/>
  <c r="E8" i="5" s="1"/>
  <c r="E21" i="3"/>
  <c r="E21" i="5" s="1"/>
  <c r="G10" i="1"/>
  <c r="F10" i="3"/>
  <c r="F10" i="5" s="1"/>
  <c r="R72" i="6"/>
  <c r="D12" i="3"/>
  <c r="D13" i="3" s="1"/>
  <c r="J15" i="5"/>
  <c r="H67" i="3"/>
  <c r="H69" i="3" s="1"/>
  <c r="H63" i="3"/>
  <c r="H66" i="3"/>
  <c r="K12" i="3"/>
  <c r="K13" i="3" s="1"/>
  <c r="F11" i="5"/>
  <c r="F77" i="5" s="1"/>
  <c r="F74" i="6"/>
  <c r="R73" i="6"/>
  <c r="L15" i="5"/>
  <c r="L64" i="5" s="1"/>
  <c r="J67" i="3"/>
  <c r="J69" i="3" s="1"/>
  <c r="J63" i="3"/>
  <c r="J66" i="3"/>
  <c r="U73" i="6"/>
  <c r="C15" i="5"/>
  <c r="H12" i="3"/>
  <c r="H13" i="3" s="1"/>
  <c r="B11" i="5"/>
  <c r="B77" i="5" s="1"/>
  <c r="H53" i="6"/>
  <c r="C12" i="3"/>
  <c r="C13" i="3" s="1"/>
  <c r="C67" i="3"/>
  <c r="C69" i="3" s="1"/>
  <c r="C63" i="3"/>
  <c r="C66" i="3"/>
  <c r="B15" i="5"/>
  <c r="K67" i="3"/>
  <c r="K69" i="3" s="1"/>
  <c r="K63" i="3"/>
  <c r="K66" i="3"/>
  <c r="L5" i="6"/>
  <c r="L6" i="6" s="1"/>
  <c r="L7" i="6" s="1"/>
  <c r="L8" i="6" s="1"/>
  <c r="L9" i="6" s="1"/>
  <c r="L10" i="6" s="1"/>
  <c r="L11" i="6" s="1"/>
  <c r="K15" i="5"/>
  <c r="J12" i="3"/>
  <c r="J13" i="3" s="1"/>
  <c r="I15" i="5"/>
  <c r="M12" i="3"/>
  <c r="M13" i="3" s="1"/>
  <c r="D15" i="5"/>
  <c r="F15" i="5"/>
  <c r="D11" i="5"/>
  <c r="D77" i="5" s="1"/>
  <c r="M11" i="5"/>
  <c r="F53" i="6"/>
  <c r="E12" i="3"/>
  <c r="E13" i="3" s="1"/>
  <c r="B12" i="3"/>
  <c r="B13" i="3" s="1"/>
  <c r="E66" i="3"/>
  <c r="E67" i="3"/>
  <c r="E69" i="3" s="1"/>
  <c r="E63" i="3"/>
  <c r="B67" i="3"/>
  <c r="B69" i="3" s="1"/>
  <c r="B63" i="3"/>
  <c r="B66" i="3"/>
  <c r="G16" i="3"/>
  <c r="E87" i="2"/>
  <c r="P101" i="2" s="1"/>
  <c r="P102" i="2" s="1"/>
  <c r="M66" i="3"/>
  <c r="M67" i="3"/>
  <c r="M69" i="3" s="1"/>
  <c r="M63" i="3"/>
  <c r="M15" i="5"/>
  <c r="E19" i="3"/>
  <c r="E19" i="5" s="1"/>
  <c r="H75" i="6"/>
  <c r="L66" i="3"/>
  <c r="L63" i="3"/>
  <c r="L67" i="3"/>
  <c r="L69" i="3" s="1"/>
  <c r="F12" i="3"/>
  <c r="F13" i="3" s="1"/>
  <c r="J11" i="5"/>
  <c r="J77" i="5" s="1"/>
  <c r="C11" i="5"/>
  <c r="C77" i="5" s="1"/>
  <c r="I12" i="3"/>
  <c r="I13" i="3" s="1"/>
  <c r="E15" i="5"/>
  <c r="H23" i="6"/>
  <c r="F66" i="3"/>
  <c r="F67" i="3"/>
  <c r="F69" i="3" s="1"/>
  <c r="F63" i="3"/>
  <c r="L11" i="5"/>
  <c r="K11" i="5"/>
  <c r="K77" i="5" s="1"/>
  <c r="L12" i="3"/>
  <c r="L13" i="3" s="1"/>
  <c r="I67" i="3"/>
  <c r="I69" i="3" s="1"/>
  <c r="I63" i="3"/>
  <c r="I66" i="3"/>
  <c r="G64" i="5"/>
  <c r="G65" i="5"/>
  <c r="D66" i="3"/>
  <c r="D63" i="3"/>
  <c r="D67" i="3"/>
  <c r="D69" i="3" s="1"/>
  <c r="Q101" i="2" l="1"/>
  <c r="R101" i="4"/>
  <c r="R100" i="4"/>
  <c r="R102" i="2"/>
  <c r="H63" i="6"/>
  <c r="F8" i="1"/>
  <c r="F8" i="3" s="1"/>
  <c r="F8" i="5" s="1"/>
  <c r="F21" i="3"/>
  <c r="F21" i="5" s="1"/>
  <c r="L12" i="6"/>
  <c r="O11" i="6"/>
  <c r="D61" i="3"/>
  <c r="C61" i="3"/>
  <c r="H10" i="1"/>
  <c r="B3" i="6"/>
  <c r="G10" i="3"/>
  <c r="G10" i="5" s="1"/>
  <c r="F61" i="3"/>
  <c r="E61" i="3"/>
  <c r="F68" i="3"/>
  <c r="F70" i="3" s="1"/>
  <c r="F74" i="3" s="1"/>
  <c r="F75" i="3" s="1"/>
  <c r="Q31" i="4" s="1"/>
  <c r="I18" i="3"/>
  <c r="O34" i="2" s="1"/>
  <c r="F19" i="3"/>
  <c r="F19" i="5" s="1"/>
  <c r="E18" i="3"/>
  <c r="O30" i="2" s="1"/>
  <c r="B64" i="5"/>
  <c r="I68" i="3"/>
  <c r="I70" i="3" s="1"/>
  <c r="I74" i="3" s="1"/>
  <c r="I75" i="3" s="1"/>
  <c r="Q34" i="4" s="1"/>
  <c r="F64" i="5"/>
  <c r="I64" i="5"/>
  <c r="L84" i="6"/>
  <c r="O5" i="6"/>
  <c r="B68" i="3"/>
  <c r="B70" i="3" s="1"/>
  <c r="B74" i="3" s="1"/>
  <c r="B75" i="3" s="1"/>
  <c r="Q27" i="4" s="1"/>
  <c r="H68" i="3"/>
  <c r="H70" i="3" s="1"/>
  <c r="H74" i="3" s="1"/>
  <c r="H75" i="3" s="1"/>
  <c r="Q33" i="4" s="1"/>
  <c r="E64" i="5"/>
  <c r="G12" i="3"/>
  <c r="G13" i="3" s="1"/>
  <c r="K64" i="5"/>
  <c r="H18" i="3"/>
  <c r="O33" i="2" s="1"/>
  <c r="K18" i="3"/>
  <c r="O36" i="2" s="1"/>
  <c r="F18" i="3"/>
  <c r="O31" i="2" s="1"/>
  <c r="G66" i="3"/>
  <c r="G67" i="3"/>
  <c r="G69" i="3" s="1"/>
  <c r="G63" i="3"/>
  <c r="F54" i="6"/>
  <c r="D64" i="5"/>
  <c r="J68" i="3"/>
  <c r="J70" i="3" s="1"/>
  <c r="J74" i="3" s="1"/>
  <c r="J75" i="3" s="1"/>
  <c r="Q35" i="4" s="1"/>
  <c r="J64" i="5"/>
  <c r="L18" i="3"/>
  <c r="O37" i="2" s="1"/>
  <c r="B18" i="3"/>
  <c r="O27" i="2" s="1"/>
  <c r="K68" i="3"/>
  <c r="K70" i="3" s="1"/>
  <c r="K74" i="3" s="1"/>
  <c r="K75" i="3" s="1"/>
  <c r="Q36" i="4" s="1"/>
  <c r="C64" i="5"/>
  <c r="M68" i="3"/>
  <c r="M70" i="3" s="1"/>
  <c r="M74" i="3" s="1"/>
  <c r="M75" i="3" s="1"/>
  <c r="Q38" i="4" s="1"/>
  <c r="B61" i="3"/>
  <c r="E68" i="3"/>
  <c r="E70" i="3" s="1"/>
  <c r="E74" i="3" s="1"/>
  <c r="E75" i="3" s="1"/>
  <c r="Q30" i="4" s="1"/>
  <c r="M18" i="3"/>
  <c r="O38" i="2" s="1"/>
  <c r="C18" i="3"/>
  <c r="O28" i="2" s="1"/>
  <c r="R74" i="6"/>
  <c r="F75" i="6"/>
  <c r="U74" i="6"/>
  <c r="D18" i="3"/>
  <c r="O29" i="2" s="1"/>
  <c r="D68" i="3"/>
  <c r="D70" i="3" s="1"/>
  <c r="D74" i="3" s="1"/>
  <c r="D75" i="3" s="1"/>
  <c r="Q29" i="4" s="1"/>
  <c r="L68" i="3"/>
  <c r="L70" i="3" s="1"/>
  <c r="L74" i="3" s="1"/>
  <c r="L75" i="3" s="1"/>
  <c r="Q37" i="4" s="1"/>
  <c r="J18" i="3"/>
  <c r="O35" i="2" s="1"/>
  <c r="C68" i="3"/>
  <c r="C70" i="3" s="1"/>
  <c r="C74" i="3" s="1"/>
  <c r="C75" i="3" s="1"/>
  <c r="Q28" i="4" s="1"/>
  <c r="F37" i="4" l="1"/>
  <c r="F30" i="4"/>
  <c r="F29" i="4"/>
  <c r="F27" i="4"/>
  <c r="S27" i="4"/>
  <c r="F36" i="4"/>
  <c r="F28" i="4"/>
  <c r="F38" i="4"/>
  <c r="F34" i="4"/>
  <c r="F35" i="4"/>
  <c r="F33" i="4"/>
  <c r="F31" i="4"/>
  <c r="Q87" i="4"/>
  <c r="D87" i="2"/>
  <c r="I92" i="6"/>
  <c r="I71" i="6"/>
  <c r="F61" i="6"/>
  <c r="F62" i="6"/>
  <c r="Q102" i="2"/>
  <c r="F73" i="3"/>
  <c r="F79" i="3" s="1"/>
  <c r="F63" i="6"/>
  <c r="H64" i="6"/>
  <c r="G8" i="1"/>
  <c r="B14" i="6"/>
  <c r="G21" i="3"/>
  <c r="G21" i="5" s="1"/>
  <c r="L13" i="6"/>
  <c r="O12" i="6"/>
  <c r="B27" i="6"/>
  <c r="H5" i="6" s="1"/>
  <c r="I49" i="6"/>
  <c r="G49" i="6" s="1"/>
  <c r="G92" i="6" s="1"/>
  <c r="I50" i="6"/>
  <c r="G50" i="6" s="1"/>
  <c r="F60" i="6"/>
  <c r="I52" i="6"/>
  <c r="G52" i="6" s="1"/>
  <c r="I51" i="6"/>
  <c r="G51" i="6" s="1"/>
  <c r="I53" i="6"/>
  <c r="G53" i="6" s="1"/>
  <c r="I54" i="6"/>
  <c r="K73" i="3"/>
  <c r="K79" i="3" s="1"/>
  <c r="L17" i="3"/>
  <c r="P37" i="2" s="1"/>
  <c r="J17" i="3"/>
  <c r="P35" i="2" s="1"/>
  <c r="H17" i="3"/>
  <c r="P33" i="2" s="1"/>
  <c r="D73" i="3"/>
  <c r="D79" i="3" s="1"/>
  <c r="E73" i="3"/>
  <c r="E79" i="3" s="1"/>
  <c r="I73" i="3"/>
  <c r="I79" i="3" s="1"/>
  <c r="H10" i="3"/>
  <c r="I10" i="1"/>
  <c r="F17" i="3"/>
  <c r="P31" i="2" s="1"/>
  <c r="H73" i="3"/>
  <c r="H79" i="3" s="1"/>
  <c r="C73" i="3"/>
  <c r="C79" i="3" s="1"/>
  <c r="L73" i="3"/>
  <c r="L79" i="3" s="1"/>
  <c r="C17" i="3"/>
  <c r="P28" i="2" s="1"/>
  <c r="I17" i="3"/>
  <c r="P34" i="2" s="1"/>
  <c r="J73" i="3"/>
  <c r="J79" i="3" s="1"/>
  <c r="E17" i="3"/>
  <c r="P30" i="2" s="1"/>
  <c r="O6" i="6"/>
  <c r="D76" i="3"/>
  <c r="R29" i="4" s="1"/>
  <c r="S29" i="4" s="1"/>
  <c r="B17" i="3"/>
  <c r="P27" i="2" s="1"/>
  <c r="G68" i="3"/>
  <c r="G70" i="3" s="1"/>
  <c r="G74" i="3" s="1"/>
  <c r="G75" i="3" s="1"/>
  <c r="Q32" i="4" s="1"/>
  <c r="F55" i="6"/>
  <c r="H55" i="6"/>
  <c r="O84" i="6"/>
  <c r="G61" i="3"/>
  <c r="F76" i="3"/>
  <c r="R31" i="4" s="1"/>
  <c r="S31" i="4" s="1"/>
  <c r="E76" i="3"/>
  <c r="R30" i="4" s="1"/>
  <c r="S30" i="4" s="1"/>
  <c r="E30" i="4" s="1"/>
  <c r="D17" i="3"/>
  <c r="P29" i="2" s="1"/>
  <c r="B76" i="3"/>
  <c r="R27" i="4" s="1"/>
  <c r="B12" i="6"/>
  <c r="G19" i="3"/>
  <c r="G19" i="5" s="1"/>
  <c r="R75" i="6"/>
  <c r="U75" i="6"/>
  <c r="C76" i="3"/>
  <c r="R28" i="4" s="1"/>
  <c r="S28" i="4" s="1"/>
  <c r="G18" i="3"/>
  <c r="O32" i="2" s="1"/>
  <c r="M17" i="3"/>
  <c r="P38" i="2" s="1"/>
  <c r="M73" i="3"/>
  <c r="M79" i="3" s="1"/>
  <c r="B73" i="3"/>
  <c r="B79" i="3" s="1"/>
  <c r="K17" i="3"/>
  <c r="P36" i="2" s="1"/>
  <c r="Z30" i="4" l="1"/>
  <c r="AC30" i="4" s="1"/>
  <c r="D30" i="4"/>
  <c r="J30" i="4"/>
  <c r="AA30" i="4" s="1"/>
  <c r="E33" i="4"/>
  <c r="E27" i="4"/>
  <c r="E28" i="4"/>
  <c r="S32" i="4"/>
  <c r="F32" i="4"/>
  <c r="E31" i="4"/>
  <c r="E29" i="4"/>
  <c r="F87" i="4"/>
  <c r="O87" i="2"/>
  <c r="J149" i="2" s="1"/>
  <c r="G54" i="6"/>
  <c r="I70" i="6"/>
  <c r="I69" i="6" s="1"/>
  <c r="I68" i="6" s="1"/>
  <c r="I67" i="6" s="1"/>
  <c r="I66" i="6" s="1"/>
  <c r="G71" i="6"/>
  <c r="I72" i="6"/>
  <c r="H65" i="6"/>
  <c r="F64" i="6"/>
  <c r="G8" i="3"/>
  <c r="G8" i="5" s="1"/>
  <c r="B1" i="6"/>
  <c r="H21" i="3"/>
  <c r="H21" i="5" s="1"/>
  <c r="H8" i="1"/>
  <c r="H8" i="3" s="1"/>
  <c r="H8" i="5" s="1"/>
  <c r="L14" i="6"/>
  <c r="O13" i="6"/>
  <c r="H6" i="6"/>
  <c r="H84" i="6"/>
  <c r="H4" i="6"/>
  <c r="O8" i="6"/>
  <c r="B28" i="6"/>
  <c r="F3" i="6"/>
  <c r="U3" i="6" s="1"/>
  <c r="I55" i="6"/>
  <c r="G55" i="6" s="1"/>
  <c r="J10" i="1"/>
  <c r="I10" i="3"/>
  <c r="H10" i="5"/>
  <c r="H61" i="3"/>
  <c r="H76" i="3" s="1"/>
  <c r="R33" i="4" s="1"/>
  <c r="S33" i="4" s="1"/>
  <c r="F56" i="6"/>
  <c r="G76" i="3"/>
  <c r="R32" i="4" s="1"/>
  <c r="C78" i="3"/>
  <c r="C80" i="3" s="1"/>
  <c r="H19" i="3"/>
  <c r="H19" i="5" s="1"/>
  <c r="N13" i="5"/>
  <c r="H56" i="6"/>
  <c r="D78" i="3"/>
  <c r="D80" i="3" s="1"/>
  <c r="E78" i="3"/>
  <c r="E80" i="3" s="1"/>
  <c r="G17" i="3"/>
  <c r="P32" i="2" s="1"/>
  <c r="F78" i="3"/>
  <c r="F80" i="3" s="1"/>
  <c r="O7" i="6"/>
  <c r="B78" i="3"/>
  <c r="B80" i="3" s="1"/>
  <c r="G73" i="3"/>
  <c r="G79" i="3" s="1"/>
  <c r="D31" i="4" l="1"/>
  <c r="Z28" i="4"/>
  <c r="AC28" i="4" s="1"/>
  <c r="D28" i="4"/>
  <c r="D33" i="4"/>
  <c r="J33" i="4"/>
  <c r="Z33" i="4"/>
  <c r="AC33" i="4" s="1"/>
  <c r="D29" i="4"/>
  <c r="Z29" i="4"/>
  <c r="AC29" i="4" s="1"/>
  <c r="J29" i="4"/>
  <c r="D27" i="4"/>
  <c r="Z27" i="4"/>
  <c r="J27" i="4"/>
  <c r="E32" i="4"/>
  <c r="AB30" i="4"/>
  <c r="K30" i="4" s="1"/>
  <c r="L30" i="4" s="1"/>
  <c r="G30" i="4"/>
  <c r="H78" i="3"/>
  <c r="H80" i="3" s="1"/>
  <c r="H82" i="3" s="1"/>
  <c r="P33" i="4" s="1"/>
  <c r="P87" i="2"/>
  <c r="H149" i="2" s="1"/>
  <c r="I73" i="6"/>
  <c r="G72" i="6"/>
  <c r="M72" i="6" s="1"/>
  <c r="F65" i="6"/>
  <c r="H66" i="6"/>
  <c r="G66" i="6" s="1"/>
  <c r="I21" i="3"/>
  <c r="I21" i="5" s="1"/>
  <c r="I8" i="1"/>
  <c r="I8" i="3" s="1"/>
  <c r="I8" i="5" s="1"/>
  <c r="L15" i="6"/>
  <c r="O14" i="6"/>
  <c r="F6" i="6"/>
  <c r="U6" i="6" s="1"/>
  <c r="H7" i="6"/>
  <c r="F18" i="6"/>
  <c r="U18" i="6" s="1"/>
  <c r="F5" i="6"/>
  <c r="U5" i="6" s="1"/>
  <c r="F4" i="6"/>
  <c r="U4" i="6" s="1"/>
  <c r="F19" i="6"/>
  <c r="R19" i="6" s="1"/>
  <c r="F20" i="6"/>
  <c r="R20" i="6" s="1"/>
  <c r="F21" i="6"/>
  <c r="R21" i="6" s="1"/>
  <c r="F22" i="6"/>
  <c r="R22" i="6" s="1"/>
  <c r="F23" i="6"/>
  <c r="R23" i="6" s="1"/>
  <c r="O10" i="6"/>
  <c r="O9" i="6"/>
  <c r="AA5" i="6" s="1"/>
  <c r="AA6" i="6" s="1"/>
  <c r="R3" i="6"/>
  <c r="I3" i="6"/>
  <c r="I4" i="6" s="1"/>
  <c r="I56" i="6"/>
  <c r="G56" i="6" s="1"/>
  <c r="I10" i="5"/>
  <c r="I61" i="3"/>
  <c r="I76" i="3" s="1"/>
  <c r="R34" i="4" s="1"/>
  <c r="S34" i="4" s="1"/>
  <c r="E34" i="4" s="1"/>
  <c r="J10" i="3"/>
  <c r="K10" i="1"/>
  <c r="H16" i="5"/>
  <c r="E82" i="3"/>
  <c r="P30" i="4" s="1"/>
  <c r="E81" i="3"/>
  <c r="O30" i="4" s="1"/>
  <c r="I65" i="6"/>
  <c r="D16" i="5"/>
  <c r="G78" i="3"/>
  <c r="G80" i="3" s="1"/>
  <c r="C16" i="5"/>
  <c r="B16" i="5"/>
  <c r="D82" i="3"/>
  <c r="P29" i="4" s="1"/>
  <c r="D81" i="3"/>
  <c r="O29" i="4" s="1"/>
  <c r="M16" i="5"/>
  <c r="I19" i="3"/>
  <c r="I19" i="5" s="1"/>
  <c r="H81" i="3"/>
  <c r="O33" i="4" s="1"/>
  <c r="K16" i="5"/>
  <c r="F82" i="3"/>
  <c r="P31" i="4" s="1"/>
  <c r="F81" i="3"/>
  <c r="O31" i="4" s="1"/>
  <c r="L16" i="5"/>
  <c r="I16" i="5"/>
  <c r="F16" i="5"/>
  <c r="C82" i="3"/>
  <c r="P28" i="4" s="1"/>
  <c r="C81" i="3"/>
  <c r="O28" i="4" s="1"/>
  <c r="E16" i="5"/>
  <c r="J16" i="5"/>
  <c r="B81" i="3"/>
  <c r="O27" i="4" s="1"/>
  <c r="B82" i="3"/>
  <c r="P27" i="4" s="1"/>
  <c r="AA29" i="4" l="1"/>
  <c r="G29" i="4"/>
  <c r="AB29" i="4"/>
  <c r="K29" i="4" s="1"/>
  <c r="L29" i="4" s="1"/>
  <c r="D32" i="4"/>
  <c r="AB28" i="4"/>
  <c r="G28" i="4"/>
  <c r="AC27" i="4"/>
  <c r="J28" i="4"/>
  <c r="AA28" i="4" s="1"/>
  <c r="Z34" i="4"/>
  <c r="D34" i="4"/>
  <c r="J34" i="4"/>
  <c r="AB33" i="4"/>
  <c r="G33" i="4"/>
  <c r="AA33" i="4"/>
  <c r="Z31" i="4"/>
  <c r="J31" i="4" s="1"/>
  <c r="F84" i="6"/>
  <c r="I84" i="6" s="1"/>
  <c r="I74" i="6"/>
  <c r="G73" i="6"/>
  <c r="R5" i="6"/>
  <c r="F27" i="6"/>
  <c r="F28" i="6" s="1"/>
  <c r="F29" i="6" s="1"/>
  <c r="F30" i="6" s="1"/>
  <c r="F31" i="6" s="1"/>
  <c r="F32" i="6" s="1"/>
  <c r="F33" i="6" s="1"/>
  <c r="F34" i="6" s="1"/>
  <c r="F35" i="6" s="1"/>
  <c r="F36" i="6" s="1"/>
  <c r="F37" i="6" s="1"/>
  <c r="F38" i="6" s="1"/>
  <c r="F39" i="6" s="1"/>
  <c r="F40" i="6" s="1"/>
  <c r="F41" i="6" s="1"/>
  <c r="F42" i="6" s="1"/>
  <c r="F43" i="6" s="1"/>
  <c r="F44" i="6" s="1"/>
  <c r="F45" i="6" s="1"/>
  <c r="F46" i="6" s="1"/>
  <c r="F47" i="6" s="1"/>
  <c r="F48" i="6" s="1"/>
  <c r="J72" i="6"/>
  <c r="K72" i="6" s="1"/>
  <c r="P72" i="6"/>
  <c r="W72" i="6" s="1"/>
  <c r="S72" i="6"/>
  <c r="V72" i="6" s="1"/>
  <c r="N72" i="6"/>
  <c r="R6" i="6"/>
  <c r="R4" i="6"/>
  <c r="U21" i="6"/>
  <c r="H67" i="6"/>
  <c r="F66" i="6"/>
  <c r="J21" i="3"/>
  <c r="J21" i="5" s="1"/>
  <c r="J8" i="1"/>
  <c r="J8" i="3" s="1"/>
  <c r="J8" i="5" s="1"/>
  <c r="R18" i="6"/>
  <c r="U23" i="6"/>
  <c r="G3" i="6"/>
  <c r="M3" i="6" s="1"/>
  <c r="P3" i="6" s="1"/>
  <c r="W3" i="6" s="1"/>
  <c r="L16" i="6"/>
  <c r="O15" i="6"/>
  <c r="U19" i="6"/>
  <c r="U22" i="6"/>
  <c r="U20" i="6"/>
  <c r="F7" i="6"/>
  <c r="H8" i="6"/>
  <c r="I27" i="6"/>
  <c r="R84" i="6"/>
  <c r="U84" i="6"/>
  <c r="G84" i="6"/>
  <c r="F85" i="6"/>
  <c r="I78" i="3"/>
  <c r="I80" i="3" s="1"/>
  <c r="K10" i="3"/>
  <c r="L10" i="1"/>
  <c r="J10" i="5"/>
  <c r="J61" i="3"/>
  <c r="J76" i="3" s="1"/>
  <c r="R35" i="4" s="1"/>
  <c r="S35" i="4" s="1"/>
  <c r="E35" i="4" s="1"/>
  <c r="I5" i="6"/>
  <c r="G4" i="6"/>
  <c r="M4" i="6" s="1"/>
  <c r="B66" i="5"/>
  <c r="B63" i="5"/>
  <c r="B67" i="5"/>
  <c r="B69" i="5" s="1"/>
  <c r="E12" i="5"/>
  <c r="E13" i="5" s="1"/>
  <c r="C12" i="5"/>
  <c r="C13" i="5" s="1"/>
  <c r="E67" i="5"/>
  <c r="E69" i="5" s="1"/>
  <c r="E66" i="5"/>
  <c r="E63" i="5"/>
  <c r="C63" i="5"/>
  <c r="C67" i="5"/>
  <c r="C69" i="5" s="1"/>
  <c r="C66" i="5"/>
  <c r="H12" i="5"/>
  <c r="H13" i="5" s="1"/>
  <c r="I66" i="5"/>
  <c r="I63" i="5"/>
  <c r="I67" i="5"/>
  <c r="I69" i="5" s="1"/>
  <c r="J66" i="5"/>
  <c r="J63" i="5"/>
  <c r="J67" i="5"/>
  <c r="J69" i="5" s="1"/>
  <c r="F12" i="5"/>
  <c r="F13" i="5" s="1"/>
  <c r="L67" i="5"/>
  <c r="L69" i="5" s="1"/>
  <c r="L63" i="5"/>
  <c r="L66" i="5"/>
  <c r="D12" i="5"/>
  <c r="D13" i="5" s="1"/>
  <c r="H66" i="5"/>
  <c r="H63" i="5"/>
  <c r="H67" i="5"/>
  <c r="H69" i="5" s="1"/>
  <c r="K63" i="5"/>
  <c r="K67" i="5"/>
  <c r="K69" i="5" s="1"/>
  <c r="K66" i="5"/>
  <c r="G16" i="5"/>
  <c r="D67" i="5"/>
  <c r="D69" i="5" s="1"/>
  <c r="D63" i="5"/>
  <c r="D66" i="5"/>
  <c r="I64" i="6"/>
  <c r="G65" i="6"/>
  <c r="G81" i="3"/>
  <c r="O32" i="4" s="1"/>
  <c r="G82" i="3"/>
  <c r="P32" i="4" s="1"/>
  <c r="F67" i="5"/>
  <c r="F69" i="5" s="1"/>
  <c r="F66" i="5"/>
  <c r="F63" i="5"/>
  <c r="J19" i="3"/>
  <c r="J19" i="5" s="1"/>
  <c r="Z32" i="4" l="1"/>
  <c r="J32" i="4" s="1"/>
  <c r="AC32" i="4"/>
  <c r="AC34" i="4"/>
  <c r="K28" i="4"/>
  <c r="L28" i="4" s="1"/>
  <c r="AB27" i="4"/>
  <c r="G27" i="4"/>
  <c r="AA27" i="4"/>
  <c r="D35" i="4"/>
  <c r="Z35" i="4"/>
  <c r="AC35" i="4" s="1"/>
  <c r="AC31" i="4"/>
  <c r="K33" i="4"/>
  <c r="L33" i="4" s="1"/>
  <c r="U27" i="6"/>
  <c r="R27" i="6"/>
  <c r="X72" i="6"/>
  <c r="J3" i="6"/>
  <c r="K3" i="6" s="1"/>
  <c r="T72" i="6"/>
  <c r="Q72" i="6"/>
  <c r="M73" i="6"/>
  <c r="J73" i="6" s="1"/>
  <c r="K73" i="6" s="1"/>
  <c r="I75" i="6"/>
  <c r="G75" i="6" s="1"/>
  <c r="G74" i="6"/>
  <c r="S3" i="6"/>
  <c r="V3" i="6" s="1"/>
  <c r="X3" i="6" s="1"/>
  <c r="Y3" i="6" s="1"/>
  <c r="N3" i="6"/>
  <c r="T3" i="6" s="1"/>
  <c r="B12" i="5"/>
  <c r="B13" i="5" s="1"/>
  <c r="B18" i="5" s="1"/>
  <c r="F67" i="6"/>
  <c r="H68" i="6"/>
  <c r="G67" i="6"/>
  <c r="K21" i="3"/>
  <c r="K21" i="5" s="1"/>
  <c r="K8" i="1"/>
  <c r="K8" i="3" s="1"/>
  <c r="K8" i="5" s="1"/>
  <c r="L17" i="6"/>
  <c r="O17" i="6" s="1"/>
  <c r="O16" i="6"/>
  <c r="G27" i="6"/>
  <c r="M27" i="6" s="1"/>
  <c r="R7" i="6"/>
  <c r="U7" i="6"/>
  <c r="F8" i="6"/>
  <c r="H9" i="6"/>
  <c r="I28" i="6"/>
  <c r="C61" i="5"/>
  <c r="I12" i="5"/>
  <c r="I13" i="5" s="1"/>
  <c r="I18" i="5" s="1"/>
  <c r="P4" i="6"/>
  <c r="W4" i="6" s="1"/>
  <c r="N4" i="6"/>
  <c r="S4" i="6"/>
  <c r="V4" i="6" s="1"/>
  <c r="I81" i="3"/>
  <c r="O34" i="4" s="1"/>
  <c r="I82" i="3"/>
  <c r="P34" i="4" s="1"/>
  <c r="J78" i="3"/>
  <c r="J80" i="3" s="1"/>
  <c r="F86" i="6"/>
  <c r="H85" i="6"/>
  <c r="I85" i="6" s="1"/>
  <c r="J4" i="6"/>
  <c r="K4" i="6" s="1"/>
  <c r="I6" i="6"/>
  <c r="G5" i="6"/>
  <c r="M10" i="1"/>
  <c r="L10" i="3"/>
  <c r="L28" i="6"/>
  <c r="R28" i="6" s="1"/>
  <c r="L85" i="6"/>
  <c r="R85" i="6" s="1"/>
  <c r="K10" i="5"/>
  <c r="K61" i="3"/>
  <c r="K76" i="3" s="1"/>
  <c r="R36" i="4" s="1"/>
  <c r="S36" i="4" s="1"/>
  <c r="E36" i="4" s="1"/>
  <c r="H61" i="5"/>
  <c r="F61" i="5"/>
  <c r="D61" i="5"/>
  <c r="E61" i="5"/>
  <c r="I63" i="6"/>
  <c r="G64" i="6"/>
  <c r="K68" i="5"/>
  <c r="K70" i="5" s="1"/>
  <c r="K74" i="5" s="1"/>
  <c r="K75" i="5" s="1"/>
  <c r="F68" i="5"/>
  <c r="F70" i="5" s="1"/>
  <c r="F74" i="5" s="1"/>
  <c r="F75" i="5" s="1"/>
  <c r="D68" i="5"/>
  <c r="D70" i="5" s="1"/>
  <c r="D74" i="5" s="1"/>
  <c r="D75" i="5" s="1"/>
  <c r="L68" i="5"/>
  <c r="L70" i="5" s="1"/>
  <c r="E68" i="5"/>
  <c r="E70" i="5" s="1"/>
  <c r="E74" i="5" s="1"/>
  <c r="E75" i="5" s="1"/>
  <c r="J68" i="5"/>
  <c r="J70" i="5" s="1"/>
  <c r="J74" i="5" s="1"/>
  <c r="J75" i="5" s="1"/>
  <c r="G67" i="5"/>
  <c r="G69" i="5" s="1"/>
  <c r="G66" i="5"/>
  <c r="G63" i="5"/>
  <c r="H18" i="5"/>
  <c r="C68" i="5"/>
  <c r="C70" i="5" s="1"/>
  <c r="C74" i="5" s="1"/>
  <c r="C75" i="5" s="1"/>
  <c r="C18" i="5"/>
  <c r="E18" i="5"/>
  <c r="K19" i="3"/>
  <c r="K19" i="5" s="1"/>
  <c r="D18" i="5"/>
  <c r="I68" i="5"/>
  <c r="I70" i="5" s="1"/>
  <c r="I74" i="5" s="1"/>
  <c r="I75" i="5" s="1"/>
  <c r="H68" i="5"/>
  <c r="H70" i="5" s="1"/>
  <c r="H74" i="5" s="1"/>
  <c r="H75" i="5" s="1"/>
  <c r="F18" i="5"/>
  <c r="B68" i="5"/>
  <c r="B70" i="5" s="1"/>
  <c r="B74" i="5" s="1"/>
  <c r="B75" i="5" s="1"/>
  <c r="J35" i="4" l="1"/>
  <c r="G34" i="4"/>
  <c r="AB34" i="4"/>
  <c r="AA35" i="4"/>
  <c r="G35" i="4"/>
  <c r="AB35" i="4"/>
  <c r="K27" i="4"/>
  <c r="L27" i="4" s="1"/>
  <c r="AA32" i="4"/>
  <c r="AB32" i="4"/>
  <c r="G32" i="4"/>
  <c r="G31" i="4"/>
  <c r="AA31" i="4"/>
  <c r="AB31" i="4"/>
  <c r="K31" i="4" s="1"/>
  <c r="L31" i="4" s="1"/>
  <c r="D36" i="4"/>
  <c r="Z36" i="4"/>
  <c r="AC36" i="4" s="1"/>
  <c r="J36" i="4"/>
  <c r="AA34" i="4"/>
  <c r="R87" i="4"/>
  <c r="G28" i="6"/>
  <c r="M10" i="3"/>
  <c r="N10" i="1"/>
  <c r="M75" i="6"/>
  <c r="J75" i="6" s="1"/>
  <c r="K75" i="6" s="1"/>
  <c r="E3" i="6"/>
  <c r="Q3" i="6"/>
  <c r="P73" i="6"/>
  <c r="W73" i="6" s="1"/>
  <c r="S73" i="6"/>
  <c r="V73" i="6" s="1"/>
  <c r="N73" i="6"/>
  <c r="M74" i="6"/>
  <c r="J74" i="6" s="1"/>
  <c r="K74" i="6" s="1"/>
  <c r="Y72" i="6"/>
  <c r="E72" i="6"/>
  <c r="G12" i="5"/>
  <c r="G13" i="5" s="1"/>
  <c r="G18" i="5" s="1"/>
  <c r="B61" i="5"/>
  <c r="B76" i="5" s="1"/>
  <c r="B78" i="5" s="1"/>
  <c r="G68" i="6"/>
  <c r="F68" i="6"/>
  <c r="H69" i="6"/>
  <c r="L21" i="3"/>
  <c r="L21" i="5" s="1"/>
  <c r="L8" i="1"/>
  <c r="L8" i="3" s="1"/>
  <c r="L8" i="5" s="1"/>
  <c r="C76" i="5"/>
  <c r="C78" i="5" s="1"/>
  <c r="U8" i="6"/>
  <c r="R8" i="6"/>
  <c r="F9" i="6"/>
  <c r="H10" i="6"/>
  <c r="I29" i="6"/>
  <c r="G29" i="6" s="1"/>
  <c r="H76" i="5"/>
  <c r="H78" i="5" s="1"/>
  <c r="D76" i="5"/>
  <c r="D78" i="5" s="1"/>
  <c r="U28" i="6"/>
  <c r="I61" i="5"/>
  <c r="I76" i="5" s="1"/>
  <c r="I78" i="5" s="1"/>
  <c r="E76" i="5"/>
  <c r="E78" i="5" s="1"/>
  <c r="N27" i="6"/>
  <c r="P27" i="6"/>
  <c r="W27" i="6" s="1"/>
  <c r="S27" i="6"/>
  <c r="V27" i="6" s="1"/>
  <c r="J27" i="6"/>
  <c r="K78" i="3"/>
  <c r="K80" i="3" s="1"/>
  <c r="M5" i="6"/>
  <c r="J5" i="6" s="1"/>
  <c r="J81" i="3"/>
  <c r="O35" i="4" s="1"/>
  <c r="J82" i="3"/>
  <c r="P35" i="4" s="1"/>
  <c r="I7" i="6"/>
  <c r="G6" i="6"/>
  <c r="L29" i="6"/>
  <c r="U29" i="6" s="1"/>
  <c r="G85" i="6"/>
  <c r="H86" i="6"/>
  <c r="I86" i="6" s="1"/>
  <c r="F76" i="5"/>
  <c r="F78" i="5" s="1"/>
  <c r="O28" i="6"/>
  <c r="L10" i="5"/>
  <c r="L61" i="3"/>
  <c r="L76" i="3" s="1"/>
  <c r="R37" i="4" s="1"/>
  <c r="S37" i="4" s="1"/>
  <c r="E37" i="4" s="1"/>
  <c r="F87" i="6"/>
  <c r="O85" i="6"/>
  <c r="L86" i="6"/>
  <c r="M10" i="5"/>
  <c r="M61" i="3"/>
  <c r="M76" i="3" s="1"/>
  <c r="R38" i="4" s="1"/>
  <c r="S38" i="4" s="1"/>
  <c r="E38" i="4" s="1"/>
  <c r="U85" i="6"/>
  <c r="Q4" i="6"/>
  <c r="T4" i="6"/>
  <c r="J12" i="5"/>
  <c r="X4" i="6"/>
  <c r="J73" i="5"/>
  <c r="J79" i="5" s="1"/>
  <c r="F17" i="5"/>
  <c r="D73" i="5"/>
  <c r="D79" i="5" s="1"/>
  <c r="H73" i="5"/>
  <c r="H79" i="5" s="1"/>
  <c r="C17" i="5"/>
  <c r="I17" i="5"/>
  <c r="C73" i="5"/>
  <c r="C79" i="5" s="1"/>
  <c r="H17" i="5"/>
  <c r="G68" i="5"/>
  <c r="G70" i="5" s="1"/>
  <c r="G74" i="5" s="1"/>
  <c r="G75" i="5" s="1"/>
  <c r="B17" i="5"/>
  <c r="E73" i="5"/>
  <c r="E79" i="5" s="1"/>
  <c r="K73" i="5"/>
  <c r="K79" i="5" s="1"/>
  <c r="B73" i="5"/>
  <c r="B79" i="5" s="1"/>
  <c r="F73" i="5"/>
  <c r="F79" i="5" s="1"/>
  <c r="I62" i="6"/>
  <c r="G63" i="6"/>
  <c r="I73" i="5"/>
  <c r="I79" i="5" s="1"/>
  <c r="D17" i="5"/>
  <c r="L19" i="3"/>
  <c r="L19" i="5" s="1"/>
  <c r="M19" i="3"/>
  <c r="M19" i="5" s="1"/>
  <c r="E17" i="5"/>
  <c r="AA36" i="4" l="1"/>
  <c r="G36" i="4"/>
  <c r="AB36" i="4"/>
  <c r="K34" i="4"/>
  <c r="L34" i="4" s="1"/>
  <c r="D37" i="4"/>
  <c r="Z37" i="4"/>
  <c r="AC37" i="4" s="1"/>
  <c r="J37" i="4"/>
  <c r="AE32" i="4"/>
  <c r="K32" i="4"/>
  <c r="L32" i="4" s="1"/>
  <c r="D38" i="4"/>
  <c r="Z38" i="4"/>
  <c r="AC38" i="4" s="1"/>
  <c r="J38" i="4"/>
  <c r="K35" i="4"/>
  <c r="L35" i="4" s="1"/>
  <c r="S87" i="4"/>
  <c r="M28" i="6"/>
  <c r="P28" i="6" s="1"/>
  <c r="W28" i="6" s="1"/>
  <c r="G61" i="5"/>
  <c r="G76" i="5" s="1"/>
  <c r="G78" i="5" s="1"/>
  <c r="K27" i="6"/>
  <c r="X100" i="4" s="1"/>
  <c r="Z27" i="6"/>
  <c r="Z28" i="6" s="1"/>
  <c r="Z29" i="6" s="1"/>
  <c r="O10" i="1"/>
  <c r="O10" i="3" s="1"/>
  <c r="O10" i="5" s="1"/>
  <c r="N10" i="3"/>
  <c r="N10" i="5" s="1"/>
  <c r="X73" i="6"/>
  <c r="Y73" i="6" s="1"/>
  <c r="T73" i="6"/>
  <c r="Q73" i="6"/>
  <c r="N74" i="6"/>
  <c r="S74" i="6"/>
  <c r="V74" i="6" s="1"/>
  <c r="P74" i="6"/>
  <c r="W74" i="6" s="1"/>
  <c r="P75" i="6"/>
  <c r="W75" i="6" s="1"/>
  <c r="S75" i="6"/>
  <c r="V75" i="6" s="1"/>
  <c r="N75" i="6"/>
  <c r="F69" i="6"/>
  <c r="H70" i="6"/>
  <c r="G69" i="6"/>
  <c r="C80" i="5"/>
  <c r="C81" i="5" s="1"/>
  <c r="D80" i="5"/>
  <c r="D82" i="5" s="1"/>
  <c r="H11" i="6"/>
  <c r="F10" i="6"/>
  <c r="R9" i="6"/>
  <c r="U9" i="6"/>
  <c r="AB4" i="6" s="1"/>
  <c r="AB5" i="6" s="1"/>
  <c r="I30" i="6"/>
  <c r="G30" i="6" s="1"/>
  <c r="H80" i="5"/>
  <c r="H82" i="5" s="1"/>
  <c r="F80" i="5"/>
  <c r="F81" i="5" s="1"/>
  <c r="E80" i="5"/>
  <c r="E82" i="5" s="1"/>
  <c r="M29" i="6"/>
  <c r="P29" i="6" s="1"/>
  <c r="I80" i="5"/>
  <c r="I81" i="5" s="1"/>
  <c r="X27" i="6"/>
  <c r="R29" i="6"/>
  <c r="Q27" i="6"/>
  <c r="T27" i="6"/>
  <c r="L78" i="3"/>
  <c r="L80" i="3" s="1"/>
  <c r="I8" i="6"/>
  <c r="G7" i="6"/>
  <c r="M7" i="6" s="1"/>
  <c r="J13" i="5"/>
  <c r="J61" i="5"/>
  <c r="J76" i="5" s="1"/>
  <c r="J78" i="5" s="1"/>
  <c r="J80" i="5" s="1"/>
  <c r="J81" i="5" s="1"/>
  <c r="O86" i="6"/>
  <c r="L87" i="6"/>
  <c r="L30" i="6"/>
  <c r="U30" i="6" s="1"/>
  <c r="U86" i="6"/>
  <c r="K5" i="6"/>
  <c r="J84" i="6"/>
  <c r="R86" i="6"/>
  <c r="O29" i="6"/>
  <c r="M84" i="6"/>
  <c r="P5" i="6"/>
  <c r="W5" i="6" s="1"/>
  <c r="S5" i="6"/>
  <c r="V5" i="6" s="1"/>
  <c r="N5" i="6"/>
  <c r="M78" i="3"/>
  <c r="M80" i="3" s="1"/>
  <c r="F88" i="6"/>
  <c r="K12" i="5"/>
  <c r="Y4" i="6"/>
  <c r="E4" i="6"/>
  <c r="G86" i="6"/>
  <c r="H87" i="6"/>
  <c r="I87" i="6" s="1"/>
  <c r="M6" i="6"/>
  <c r="J6" i="6" s="1"/>
  <c r="K6" i="6" s="1"/>
  <c r="K81" i="3"/>
  <c r="K82" i="3"/>
  <c r="G73" i="5"/>
  <c r="G79" i="5" s="1"/>
  <c r="B80" i="5"/>
  <c r="B81" i="5" s="1"/>
  <c r="I61" i="6"/>
  <c r="G62" i="6"/>
  <c r="G17" i="5"/>
  <c r="K36" i="4" l="1"/>
  <c r="L36" i="4" s="1"/>
  <c r="G38" i="4"/>
  <c r="AA38" i="4"/>
  <c r="AB38" i="4"/>
  <c r="K38" i="4" s="1"/>
  <c r="L38" i="4" s="1"/>
  <c r="AB37" i="4"/>
  <c r="G37" i="4"/>
  <c r="AA37" i="4"/>
  <c r="P36" i="4"/>
  <c r="P87" i="4" s="1"/>
  <c r="H149" i="4" s="1"/>
  <c r="O87" i="4"/>
  <c r="J149" i="4" s="1"/>
  <c r="O36" i="4"/>
  <c r="D87" i="4"/>
  <c r="E87" i="4"/>
  <c r="P101" i="4" s="1"/>
  <c r="N28" i="6"/>
  <c r="T28" i="6" s="1"/>
  <c r="J28" i="6"/>
  <c r="K28" i="6" s="1"/>
  <c r="S28" i="6"/>
  <c r="V28" i="6" s="1"/>
  <c r="X28" i="6" s="1"/>
  <c r="Y28" i="6" s="1"/>
  <c r="X100" i="2"/>
  <c r="W100" i="2" s="1"/>
  <c r="Q100" i="2" s="1"/>
  <c r="E73" i="6"/>
  <c r="Z30" i="6"/>
  <c r="X74" i="6"/>
  <c r="Y74" i="6" s="1"/>
  <c r="Q75" i="6"/>
  <c r="T75" i="6"/>
  <c r="X75" i="6"/>
  <c r="W100" i="4"/>
  <c r="Q100" i="4" s="1"/>
  <c r="X101" i="4"/>
  <c r="X102" i="4" s="1"/>
  <c r="Q74" i="6"/>
  <c r="T74" i="6"/>
  <c r="C82" i="5"/>
  <c r="F82" i="5"/>
  <c r="F70" i="6"/>
  <c r="G70" i="6"/>
  <c r="D81" i="5"/>
  <c r="H81" i="5"/>
  <c r="E81" i="5"/>
  <c r="R10" i="6"/>
  <c r="U10" i="6"/>
  <c r="H12" i="6"/>
  <c r="F11" i="6"/>
  <c r="I31" i="6"/>
  <c r="G31" i="6" s="1"/>
  <c r="J29" i="6"/>
  <c r="K29" i="6" s="1"/>
  <c r="Q28" i="6"/>
  <c r="N29" i="6"/>
  <c r="Q29" i="6" s="1"/>
  <c r="R30" i="6"/>
  <c r="I82" i="5"/>
  <c r="S29" i="6"/>
  <c r="V29" i="6" s="1"/>
  <c r="G80" i="5"/>
  <c r="G82" i="5" s="1"/>
  <c r="J82" i="5"/>
  <c r="E27" i="6"/>
  <c r="Y27" i="6"/>
  <c r="H88" i="6"/>
  <c r="W29" i="6"/>
  <c r="G87" i="6"/>
  <c r="M82" i="3"/>
  <c r="P38" i="4" s="1"/>
  <c r="M81" i="3"/>
  <c r="O38" i="4" s="1"/>
  <c r="U87" i="6"/>
  <c r="L88" i="6"/>
  <c r="O87" i="6"/>
  <c r="Q5" i="6"/>
  <c r="T5" i="6"/>
  <c r="K84" i="6"/>
  <c r="J85" i="6"/>
  <c r="K13" i="5"/>
  <c r="K61" i="5"/>
  <c r="K76" i="5" s="1"/>
  <c r="K78" i="5" s="1"/>
  <c r="K80" i="5" s="1"/>
  <c r="X5" i="6"/>
  <c r="J18" i="5"/>
  <c r="P84" i="6"/>
  <c r="W84" i="6" s="1"/>
  <c r="S84" i="6"/>
  <c r="V84" i="6" s="1"/>
  <c r="N84" i="6"/>
  <c r="M30" i="6"/>
  <c r="J30" i="6" s="1"/>
  <c r="K30" i="6" s="1"/>
  <c r="J7" i="6"/>
  <c r="K7" i="6" s="1"/>
  <c r="N7" i="6"/>
  <c r="P7" i="6"/>
  <c r="W7" i="6" s="1"/>
  <c r="S7" i="6"/>
  <c r="V7" i="6" s="1"/>
  <c r="P6" i="6"/>
  <c r="S6" i="6"/>
  <c r="N6" i="6"/>
  <c r="R87" i="6"/>
  <c r="O30" i="6"/>
  <c r="L31" i="6"/>
  <c r="I9" i="6"/>
  <c r="G8" i="6"/>
  <c r="M8" i="6" s="1"/>
  <c r="F89" i="6"/>
  <c r="L12" i="5"/>
  <c r="M12" i="5"/>
  <c r="M13" i="5" s="1"/>
  <c r="L82" i="3"/>
  <c r="P37" i="4" s="1"/>
  <c r="L81" i="3"/>
  <c r="O37" i="4" s="1"/>
  <c r="B82" i="5"/>
  <c r="I60" i="6"/>
  <c r="G60" i="6" s="1"/>
  <c r="G61" i="6"/>
  <c r="K37" i="4" l="1"/>
  <c r="L37" i="4" s="1"/>
  <c r="P102" i="4"/>
  <c r="R102" i="4"/>
  <c r="Q102" i="4" s="1"/>
  <c r="Q101" i="4"/>
  <c r="Z87" i="4"/>
  <c r="E28" i="6"/>
  <c r="X101" i="2"/>
  <c r="Z31" i="6"/>
  <c r="E74" i="6"/>
  <c r="X87" i="2"/>
  <c r="X102" i="2"/>
  <c r="Y75" i="6"/>
  <c r="E75" i="6"/>
  <c r="I88" i="6"/>
  <c r="G88" i="6" s="1"/>
  <c r="G81" i="5"/>
  <c r="H13" i="6"/>
  <c r="F12" i="6"/>
  <c r="U11" i="6"/>
  <c r="R11" i="6"/>
  <c r="T29" i="6"/>
  <c r="I32" i="6"/>
  <c r="G32" i="6" s="1"/>
  <c r="X29" i="6"/>
  <c r="X84" i="6"/>
  <c r="Y84" i="6" s="1"/>
  <c r="X7" i="6"/>
  <c r="N30" i="6"/>
  <c r="T30" i="6" s="1"/>
  <c r="J8" i="6"/>
  <c r="K8" i="6" s="1"/>
  <c r="S8" i="6"/>
  <c r="V8" i="6" s="1"/>
  <c r="N8" i="6"/>
  <c r="P8" i="6"/>
  <c r="W8" i="6" s="1"/>
  <c r="Q6" i="6"/>
  <c r="T6" i="6"/>
  <c r="M18" i="5"/>
  <c r="G9" i="6"/>
  <c r="M9" i="6" s="1"/>
  <c r="I10" i="6"/>
  <c r="S1" i="6"/>
  <c r="V6" i="6"/>
  <c r="W6" i="6"/>
  <c r="P1" i="6"/>
  <c r="Q84" i="6"/>
  <c r="T84" i="6"/>
  <c r="L13" i="5"/>
  <c r="L61" i="5"/>
  <c r="U31" i="6"/>
  <c r="M31" i="6" s="1"/>
  <c r="N31" i="6" s="1"/>
  <c r="O31" i="6"/>
  <c r="L32" i="6"/>
  <c r="U32" i="6" s="1"/>
  <c r="Y5" i="6"/>
  <c r="E5" i="6"/>
  <c r="K82" i="5"/>
  <c r="K81" i="5"/>
  <c r="R88" i="6"/>
  <c r="O88" i="6"/>
  <c r="L89" i="6"/>
  <c r="U89" i="6" s="1"/>
  <c r="U88" i="6"/>
  <c r="Q7" i="6"/>
  <c r="T7" i="6"/>
  <c r="J17" i="5"/>
  <c r="K18" i="5"/>
  <c r="F90" i="6"/>
  <c r="H89" i="6"/>
  <c r="I89" i="6" s="1"/>
  <c r="P30" i="6"/>
  <c r="W30" i="6" s="1"/>
  <c r="S30" i="6"/>
  <c r="V30" i="6" s="1"/>
  <c r="R31" i="6"/>
  <c r="J86" i="6"/>
  <c r="M85" i="6"/>
  <c r="K85" i="6"/>
  <c r="AC87" i="4" l="1"/>
  <c r="AA87" i="4"/>
  <c r="Z87" i="2"/>
  <c r="Y87" i="2"/>
  <c r="V101" i="2" s="1"/>
  <c r="Z32" i="6"/>
  <c r="W87" i="2"/>
  <c r="E84" i="6"/>
  <c r="R12" i="6"/>
  <c r="U12" i="6"/>
  <c r="H14" i="6"/>
  <c r="F13" i="6"/>
  <c r="I33" i="6"/>
  <c r="G33" i="6" s="1"/>
  <c r="M32" i="6"/>
  <c r="S32" i="6" s="1"/>
  <c r="X6" i="6"/>
  <c r="Y6" i="6" s="1"/>
  <c r="X8" i="6"/>
  <c r="J31" i="6"/>
  <c r="K31" i="6" s="1"/>
  <c r="K17" i="5"/>
  <c r="Y29" i="6"/>
  <c r="E29" i="6"/>
  <c r="Y7" i="6"/>
  <c r="E7" i="6"/>
  <c r="Q30" i="6"/>
  <c r="H87" i="2"/>
  <c r="H90" i="6"/>
  <c r="I90" i="6" s="1"/>
  <c r="L18" i="5"/>
  <c r="M17" i="5"/>
  <c r="G89" i="6"/>
  <c r="R89" i="6"/>
  <c r="L90" i="6"/>
  <c r="R90" i="6" s="1"/>
  <c r="O89" i="6"/>
  <c r="S85" i="6"/>
  <c r="V85" i="6" s="1"/>
  <c r="N85" i="6"/>
  <c r="M86" i="6"/>
  <c r="P85" i="6"/>
  <c r="W85" i="6" s="1"/>
  <c r="F91" i="6"/>
  <c r="T31" i="6"/>
  <c r="Q31" i="6"/>
  <c r="J87" i="6"/>
  <c r="K86" i="6"/>
  <c r="R32" i="6"/>
  <c r="L33" i="6"/>
  <c r="U33" i="6" s="1"/>
  <c r="O32" i="6"/>
  <c r="Q8" i="6"/>
  <c r="T8" i="6"/>
  <c r="P31" i="6"/>
  <c r="W31" i="6" s="1"/>
  <c r="S31" i="6"/>
  <c r="V31" i="6" s="1"/>
  <c r="I11" i="6"/>
  <c r="G10" i="6"/>
  <c r="M10" i="6" s="1"/>
  <c r="X30" i="6"/>
  <c r="J9" i="6"/>
  <c r="K9" i="6" s="1"/>
  <c r="P9" i="6"/>
  <c r="N9" i="6"/>
  <c r="S9" i="6"/>
  <c r="I87" i="4" l="1"/>
  <c r="Y87" i="4"/>
  <c r="V101" i="4" s="1"/>
  <c r="V102" i="4" s="1"/>
  <c r="Z33" i="6"/>
  <c r="I87" i="2"/>
  <c r="V102" i="2"/>
  <c r="W101" i="2"/>
  <c r="E6" i="6"/>
  <c r="R13" i="6"/>
  <c r="U13" i="6"/>
  <c r="H15" i="6"/>
  <c r="F14" i="6"/>
  <c r="I34" i="6"/>
  <c r="G34" i="6" s="1"/>
  <c r="J32" i="6"/>
  <c r="K32" i="6" s="1"/>
  <c r="N32" i="6"/>
  <c r="Q32" i="6" s="1"/>
  <c r="P32" i="6"/>
  <c r="W32" i="6" s="1"/>
  <c r="V32" i="6"/>
  <c r="U90" i="6"/>
  <c r="X85" i="6"/>
  <c r="Y85" i="6" s="1"/>
  <c r="E8" i="6"/>
  <c r="Y8" i="6"/>
  <c r="L17" i="5"/>
  <c r="M33" i="6"/>
  <c r="J33" i="6" s="1"/>
  <c r="K33" i="6" s="1"/>
  <c r="Y30" i="6"/>
  <c r="E30" i="6"/>
  <c r="N86" i="6"/>
  <c r="S86" i="6"/>
  <c r="V86" i="6" s="1"/>
  <c r="M87" i="6"/>
  <c r="P86" i="6"/>
  <c r="W86" i="6" s="1"/>
  <c r="J10" i="6"/>
  <c r="K10" i="6" s="1"/>
  <c r="N10" i="6"/>
  <c r="P10" i="6"/>
  <c r="W10" i="6" s="1"/>
  <c r="S10" i="6"/>
  <c r="V10" i="6" s="1"/>
  <c r="T85" i="6"/>
  <c r="Q85" i="6"/>
  <c r="I12" i="6"/>
  <c r="G11" i="6"/>
  <c r="M11" i="6" s="1"/>
  <c r="R33" i="6"/>
  <c r="L34" i="6"/>
  <c r="U34" i="6" s="1"/>
  <c r="O33" i="6"/>
  <c r="V9" i="6"/>
  <c r="AA7" i="6"/>
  <c r="AA8" i="6" s="1"/>
  <c r="X31" i="6"/>
  <c r="Q9" i="6"/>
  <c r="T9" i="6"/>
  <c r="O90" i="6"/>
  <c r="L91" i="6"/>
  <c r="O91" i="6" s="1"/>
  <c r="W9" i="6"/>
  <c r="AB6" i="6"/>
  <c r="AB7" i="6" s="1"/>
  <c r="AB8" i="6" s="1"/>
  <c r="J88" i="6"/>
  <c r="K87" i="6"/>
  <c r="G90" i="6"/>
  <c r="H91" i="6"/>
  <c r="I91" i="6" s="1"/>
  <c r="M87" i="4" l="1"/>
  <c r="G87" i="4"/>
  <c r="H87" i="4"/>
  <c r="J87" i="4"/>
  <c r="W102" i="4"/>
  <c r="W102" i="2"/>
  <c r="Z34" i="6"/>
  <c r="W101" i="4"/>
  <c r="K85" i="2"/>
  <c r="G91" i="6"/>
  <c r="R14" i="6"/>
  <c r="U14" i="6"/>
  <c r="F15" i="6"/>
  <c r="H16" i="6"/>
  <c r="E85" i="6"/>
  <c r="I35" i="6"/>
  <c r="G35" i="6" s="1"/>
  <c r="T32" i="6"/>
  <c r="P33" i="6"/>
  <c r="W33" i="6" s="1"/>
  <c r="X32" i="6"/>
  <c r="Y32" i="6" s="1"/>
  <c r="N33" i="6"/>
  <c r="Q33" i="6" s="1"/>
  <c r="S33" i="6"/>
  <c r="V33" i="6" s="1"/>
  <c r="AC8" i="6"/>
  <c r="R91" i="6"/>
  <c r="U91" i="6"/>
  <c r="M88" i="6"/>
  <c r="S87" i="6"/>
  <c r="V87" i="6" s="1"/>
  <c r="P87" i="6"/>
  <c r="W87" i="6" s="1"/>
  <c r="N87" i="6"/>
  <c r="Y31" i="6"/>
  <c r="E31" i="6"/>
  <c r="J11" i="6"/>
  <c r="K11" i="6" s="1"/>
  <c r="P11" i="6"/>
  <c r="W11" i="6" s="1"/>
  <c r="N11" i="6"/>
  <c r="S11" i="6"/>
  <c r="V11" i="6" s="1"/>
  <c r="Q86" i="6"/>
  <c r="T86" i="6"/>
  <c r="K88" i="6"/>
  <c r="J89" i="6"/>
  <c r="I13" i="6"/>
  <c r="G12" i="6"/>
  <c r="M12" i="6" s="1"/>
  <c r="I18" i="6"/>
  <c r="X10" i="6"/>
  <c r="X9" i="6"/>
  <c r="Q10" i="6"/>
  <c r="T10" i="6"/>
  <c r="M34" i="6"/>
  <c r="R34" i="6"/>
  <c r="L35" i="6"/>
  <c r="U35" i="6" s="1"/>
  <c r="O34" i="6"/>
  <c r="X86" i="6"/>
  <c r="K87" i="4" l="1"/>
  <c r="AB87" i="4"/>
  <c r="L87" i="4"/>
  <c r="U100" i="4"/>
  <c r="T100" i="4" s="1"/>
  <c r="U101" i="4"/>
  <c r="K85" i="4"/>
  <c r="J87" i="2"/>
  <c r="Z35" i="6"/>
  <c r="AC87" i="2"/>
  <c r="H17" i="6"/>
  <c r="F17" i="6" s="1"/>
  <c r="F16" i="6"/>
  <c r="R15" i="6"/>
  <c r="U15" i="6"/>
  <c r="I36" i="6"/>
  <c r="G36" i="6" s="1"/>
  <c r="T33" i="6"/>
  <c r="E32" i="6"/>
  <c r="M35" i="6"/>
  <c r="S35" i="6" s="1"/>
  <c r="X87" i="6"/>
  <c r="E87" i="6" s="1"/>
  <c r="X33" i="6"/>
  <c r="Y33" i="6" s="1"/>
  <c r="E86" i="6"/>
  <c r="Y86" i="6"/>
  <c r="Y9" i="6"/>
  <c r="E9" i="6"/>
  <c r="P34" i="6"/>
  <c r="W34" i="6" s="1"/>
  <c r="S34" i="6"/>
  <c r="V34" i="6" s="1"/>
  <c r="Y10" i="6"/>
  <c r="E10" i="6"/>
  <c r="Q87" i="6"/>
  <c r="T87" i="6"/>
  <c r="I19" i="6"/>
  <c r="G18" i="6"/>
  <c r="M18" i="6" s="1"/>
  <c r="Q11" i="6"/>
  <c r="T11" i="6"/>
  <c r="N34" i="6"/>
  <c r="J12" i="6"/>
  <c r="K12" i="6" s="1"/>
  <c r="N12" i="6"/>
  <c r="P12" i="6"/>
  <c r="W12" i="6" s="1"/>
  <c r="S12" i="6"/>
  <c r="V12" i="6" s="1"/>
  <c r="X11" i="6"/>
  <c r="I14" i="6"/>
  <c r="G13" i="6"/>
  <c r="M13" i="6" s="1"/>
  <c r="M89" i="6"/>
  <c r="P88" i="6"/>
  <c r="W88" i="6" s="1"/>
  <c r="S88" i="6"/>
  <c r="V88" i="6" s="1"/>
  <c r="N88" i="6"/>
  <c r="R35" i="6"/>
  <c r="O35" i="6"/>
  <c r="L36" i="6"/>
  <c r="U36" i="6" s="1"/>
  <c r="J90" i="6"/>
  <c r="K89" i="6"/>
  <c r="J34" i="6"/>
  <c r="K34" i="6" s="1"/>
  <c r="AB87" i="2" l="1"/>
  <c r="Z36" i="6"/>
  <c r="R16" i="6"/>
  <c r="U16" i="6"/>
  <c r="U17" i="6"/>
  <c r="R17" i="6"/>
  <c r="I37" i="6"/>
  <c r="G37" i="6" s="1"/>
  <c r="P35" i="6"/>
  <c r="W35" i="6" s="1"/>
  <c r="J35" i="6"/>
  <c r="K35" i="6" s="1"/>
  <c r="N35" i="6"/>
  <c r="Q35" i="6" s="1"/>
  <c r="X34" i="6"/>
  <c r="Y34" i="6" s="1"/>
  <c r="E33" i="6"/>
  <c r="X88" i="6"/>
  <c r="E88" i="6" s="1"/>
  <c r="AA87" i="2"/>
  <c r="Y87" i="6"/>
  <c r="M36" i="6"/>
  <c r="N36" i="6" s="1"/>
  <c r="E11" i="6"/>
  <c r="Y11" i="6"/>
  <c r="Q88" i="6"/>
  <c r="T88" i="6"/>
  <c r="X12" i="6"/>
  <c r="J18" i="6"/>
  <c r="K18" i="6" s="1"/>
  <c r="N18" i="6"/>
  <c r="P18" i="6"/>
  <c r="W18" i="6" s="1"/>
  <c r="S18" i="6"/>
  <c r="V18" i="6" s="1"/>
  <c r="Q12" i="6"/>
  <c r="T12" i="6"/>
  <c r="I20" i="6"/>
  <c r="G19" i="6"/>
  <c r="P89" i="6"/>
  <c r="W89" i="6" s="1"/>
  <c r="S89" i="6"/>
  <c r="V89" i="6" s="1"/>
  <c r="N89" i="6"/>
  <c r="M90" i="6"/>
  <c r="K90" i="6"/>
  <c r="J91" i="6"/>
  <c r="K91" i="6" s="1"/>
  <c r="J13" i="6"/>
  <c r="K13" i="6" s="1"/>
  <c r="S13" i="6"/>
  <c r="V13" i="6" s="1"/>
  <c r="P13" i="6"/>
  <c r="W13" i="6" s="1"/>
  <c r="N13" i="6"/>
  <c r="Q34" i="6"/>
  <c r="T34" i="6"/>
  <c r="R36" i="6"/>
  <c r="L37" i="6"/>
  <c r="O36" i="6"/>
  <c r="I15" i="6"/>
  <c r="G14" i="6"/>
  <c r="V35" i="6"/>
  <c r="Z37" i="6" l="1"/>
  <c r="P112" i="4"/>
  <c r="P113" i="4" s="1"/>
  <c r="U101" i="2"/>
  <c r="U100" i="2"/>
  <c r="T100" i="2" s="1"/>
  <c r="I38" i="6"/>
  <c r="G38" i="6" s="1"/>
  <c r="Y88" i="6"/>
  <c r="E34" i="6"/>
  <c r="T35" i="6"/>
  <c r="X18" i="6"/>
  <c r="E18" i="6" s="1"/>
  <c r="G87" i="2"/>
  <c r="S36" i="6"/>
  <c r="V36" i="6" s="1"/>
  <c r="L85" i="2"/>
  <c r="X89" i="6"/>
  <c r="E89" i="6" s="1"/>
  <c r="X35" i="6"/>
  <c r="Y35" i="6" s="1"/>
  <c r="J36" i="6"/>
  <c r="K36" i="6" s="1"/>
  <c r="P36" i="6"/>
  <c r="W36" i="6" s="1"/>
  <c r="X13" i="6"/>
  <c r="Y13" i="6" s="1"/>
  <c r="Q13" i="6"/>
  <c r="T13" i="6"/>
  <c r="R37" i="6"/>
  <c r="L38" i="6"/>
  <c r="U38" i="6" s="1"/>
  <c r="O37" i="6"/>
  <c r="Q18" i="6"/>
  <c r="T18" i="6"/>
  <c r="U37" i="6"/>
  <c r="M37" i="6" s="1"/>
  <c r="N37" i="6" s="1"/>
  <c r="M19" i="6"/>
  <c r="J19" i="6" s="1"/>
  <c r="K19" i="6" s="1"/>
  <c r="Y12" i="6"/>
  <c r="E12" i="6"/>
  <c r="I21" i="6"/>
  <c r="G20" i="6"/>
  <c r="M14" i="6"/>
  <c r="J14" i="6" s="1"/>
  <c r="K14" i="6" s="1"/>
  <c r="M91" i="6"/>
  <c r="P90" i="6"/>
  <c r="W90" i="6" s="1"/>
  <c r="S90" i="6"/>
  <c r="V90" i="6" s="1"/>
  <c r="N90" i="6"/>
  <c r="G15" i="6"/>
  <c r="M15" i="6" s="1"/>
  <c r="I16" i="6"/>
  <c r="Q89" i="6"/>
  <c r="T89" i="6"/>
  <c r="Q36" i="6"/>
  <c r="T36" i="6"/>
  <c r="P112" i="2" l="1"/>
  <c r="P103" i="2" s="1"/>
  <c r="Z38" i="6"/>
  <c r="S112" i="4"/>
  <c r="S113" i="4" s="1"/>
  <c r="P103" i="4"/>
  <c r="L85" i="4"/>
  <c r="A88" i="4"/>
  <c r="D149" i="4"/>
  <c r="H148" i="4"/>
  <c r="D112" i="4"/>
  <c r="M87" i="2"/>
  <c r="I39" i="6"/>
  <c r="G39" i="6" s="1"/>
  <c r="Y18" i="6"/>
  <c r="X36" i="6"/>
  <c r="Y36" i="6" s="1"/>
  <c r="E35" i="6"/>
  <c r="E13" i="6"/>
  <c r="Y89" i="6"/>
  <c r="M38" i="6"/>
  <c r="N38" i="6" s="1"/>
  <c r="Q37" i="6"/>
  <c r="T37" i="6"/>
  <c r="M20" i="6"/>
  <c r="J20" i="6" s="1"/>
  <c r="K20" i="6" s="1"/>
  <c r="Q90" i="6"/>
  <c r="T90" i="6"/>
  <c r="R38" i="6"/>
  <c r="L39" i="6"/>
  <c r="R39" i="6" s="1"/>
  <c r="O38" i="6"/>
  <c r="I17" i="6"/>
  <c r="G17" i="6" s="1"/>
  <c r="G16" i="6"/>
  <c r="M16" i="6" s="1"/>
  <c r="X90" i="6"/>
  <c r="G21" i="6"/>
  <c r="M21" i="6" s="1"/>
  <c r="I22" i="6"/>
  <c r="J15" i="6"/>
  <c r="K15" i="6" s="1"/>
  <c r="N15" i="6"/>
  <c r="P15" i="6"/>
  <c r="W15" i="6" s="1"/>
  <c r="S15" i="6"/>
  <c r="V15" i="6" s="1"/>
  <c r="S91" i="6"/>
  <c r="V91" i="6" s="1"/>
  <c r="P91" i="6"/>
  <c r="W91" i="6" s="1"/>
  <c r="N91" i="6"/>
  <c r="J37" i="6"/>
  <c r="K37" i="6" s="1"/>
  <c r="P37" i="6"/>
  <c r="W37" i="6" s="1"/>
  <c r="S37" i="6"/>
  <c r="V37" i="6" s="1"/>
  <c r="P14" i="6"/>
  <c r="W14" i="6" s="1"/>
  <c r="S14" i="6"/>
  <c r="V14" i="6" s="1"/>
  <c r="N14" i="6"/>
  <c r="N19" i="6"/>
  <c r="P19" i="6"/>
  <c r="W19" i="6" s="1"/>
  <c r="S19" i="6"/>
  <c r="V19" i="6" s="1"/>
  <c r="P113" i="2" l="1"/>
  <c r="Z39" i="6"/>
  <c r="O13" i="5"/>
  <c r="O18" i="5" s="1"/>
  <c r="N18" i="5"/>
  <c r="P104" i="4"/>
  <c r="P105" i="4" s="1"/>
  <c r="P106" i="4" s="1"/>
  <c r="P107" i="4" s="1"/>
  <c r="P108" i="4" s="1"/>
  <c r="P109" i="4" s="1"/>
  <c r="P110" i="4" s="1"/>
  <c r="P111" i="4" s="1"/>
  <c r="R103" i="4"/>
  <c r="S101" i="4"/>
  <c r="S114" i="4"/>
  <c r="V103" i="4"/>
  <c r="X103" i="4" s="1"/>
  <c r="P114" i="4"/>
  <c r="P104" i="2"/>
  <c r="P105" i="2" s="1"/>
  <c r="P106" i="2" s="1"/>
  <c r="P107" i="2" s="1"/>
  <c r="P108" i="2" s="1"/>
  <c r="P109" i="2" s="1"/>
  <c r="P110" i="2" s="1"/>
  <c r="P111" i="2" s="1"/>
  <c r="R103" i="2"/>
  <c r="K87" i="2"/>
  <c r="S112" i="2"/>
  <c r="S113" i="2" s="1"/>
  <c r="H147" i="4"/>
  <c r="D150" i="4"/>
  <c r="D147" i="4"/>
  <c r="I40" i="6"/>
  <c r="G40" i="6" s="1"/>
  <c r="S38" i="6"/>
  <c r="V38" i="6" s="1"/>
  <c r="J38" i="6"/>
  <c r="K38" i="6" s="1"/>
  <c r="P38" i="6"/>
  <c r="W38" i="6" s="1"/>
  <c r="X37" i="6"/>
  <c r="E37" i="6" s="1"/>
  <c r="E36" i="6"/>
  <c r="X91" i="6"/>
  <c r="X15" i="6"/>
  <c r="X19" i="6"/>
  <c r="Q15" i="6"/>
  <c r="T15" i="6"/>
  <c r="Q38" i="6"/>
  <c r="T38" i="6"/>
  <c r="T19" i="6"/>
  <c r="Q19" i="6"/>
  <c r="U39" i="6"/>
  <c r="M39" i="6" s="1"/>
  <c r="J39" i="6" s="1"/>
  <c r="K39" i="6" s="1"/>
  <c r="O39" i="6"/>
  <c r="L40" i="6"/>
  <c r="R40" i="6" s="1"/>
  <c r="N20" i="6"/>
  <c r="P20" i="6"/>
  <c r="W20" i="6" s="1"/>
  <c r="S20" i="6"/>
  <c r="V20" i="6" s="1"/>
  <c r="T14" i="6"/>
  <c r="Q14" i="6"/>
  <c r="G22" i="6"/>
  <c r="I23" i="6"/>
  <c r="G23" i="6" s="1"/>
  <c r="M23" i="6" s="1"/>
  <c r="T91" i="6"/>
  <c r="Q91" i="6"/>
  <c r="J21" i="6"/>
  <c r="K21" i="6" s="1"/>
  <c r="S21" i="6"/>
  <c r="V21" i="6" s="1"/>
  <c r="N21" i="6"/>
  <c r="P21" i="6"/>
  <c r="W21" i="6" s="1"/>
  <c r="M17" i="6"/>
  <c r="J17" i="6" s="1"/>
  <c r="K17" i="6" s="1"/>
  <c r="X14" i="6"/>
  <c r="Y90" i="6"/>
  <c r="E90" i="6"/>
  <c r="J16" i="6"/>
  <c r="K16" i="6" s="1"/>
  <c r="N16" i="6"/>
  <c r="P16" i="6"/>
  <c r="W16" i="6" s="1"/>
  <c r="S16" i="6"/>
  <c r="V16" i="6" s="1"/>
  <c r="Z40" i="6" l="1"/>
  <c r="N17" i="5"/>
  <c r="O17" i="5"/>
  <c r="R104" i="4"/>
  <c r="Q103" i="4"/>
  <c r="S102" i="4"/>
  <c r="T101" i="4"/>
  <c r="P115" i="4"/>
  <c r="P116" i="4" s="1"/>
  <c r="P117" i="4" s="1"/>
  <c r="P118" i="4" s="1"/>
  <c r="P119" i="4" s="1"/>
  <c r="P120" i="4" s="1"/>
  <c r="P121" i="4" s="1"/>
  <c r="P122" i="4" s="1"/>
  <c r="P123" i="4" s="1"/>
  <c r="P124" i="4" s="1"/>
  <c r="P125" i="4" s="1"/>
  <c r="P126" i="4" s="1"/>
  <c r="P127" i="4" s="1"/>
  <c r="P128" i="4" s="1"/>
  <c r="P129" i="4" s="1"/>
  <c r="P130" i="4" s="1"/>
  <c r="P131" i="4" s="1"/>
  <c r="V104" i="4"/>
  <c r="V105" i="4" s="1"/>
  <c r="V106" i="4" s="1"/>
  <c r="V107" i="4" s="1"/>
  <c r="V108" i="4" s="1"/>
  <c r="V109" i="4" s="1"/>
  <c r="V110" i="4" s="1"/>
  <c r="V111" i="4" s="1"/>
  <c r="V112" i="4" s="1"/>
  <c r="V113" i="4" s="1"/>
  <c r="V114" i="4" s="1"/>
  <c r="V115" i="4" s="1"/>
  <c r="V116" i="4" s="1"/>
  <c r="V117" i="4" s="1"/>
  <c r="V118" i="4" s="1"/>
  <c r="V119" i="4" s="1"/>
  <c r="V120" i="4" s="1"/>
  <c r="V121" i="4" s="1"/>
  <c r="V122" i="4" s="1"/>
  <c r="V123" i="4" s="1"/>
  <c r="V124" i="4" s="1"/>
  <c r="V125" i="4" s="1"/>
  <c r="V126" i="4" s="1"/>
  <c r="V127" i="4" s="1"/>
  <c r="V128" i="4" s="1"/>
  <c r="V129" i="4" s="1"/>
  <c r="V130" i="4" s="1"/>
  <c r="V131" i="4" s="1"/>
  <c r="S115" i="4"/>
  <c r="S116" i="4" s="1"/>
  <c r="S117" i="4" s="1"/>
  <c r="S118" i="4" s="1"/>
  <c r="S119" i="4" s="1"/>
  <c r="S120" i="4" s="1"/>
  <c r="S121" i="4" s="1"/>
  <c r="S122" i="4" s="1"/>
  <c r="S123" i="4" s="1"/>
  <c r="S124" i="4" s="1"/>
  <c r="S125" i="4" s="1"/>
  <c r="S126" i="4" s="1"/>
  <c r="S127" i="4" s="1"/>
  <c r="S128" i="4" s="1"/>
  <c r="S129" i="4" s="1"/>
  <c r="S130" i="4" s="1"/>
  <c r="S131" i="4" s="1"/>
  <c r="L87" i="2"/>
  <c r="S101" i="2"/>
  <c r="R104" i="2"/>
  <c r="Q103" i="2"/>
  <c r="I41" i="6"/>
  <c r="G41" i="6" s="1"/>
  <c r="A88" i="2"/>
  <c r="D149" i="2"/>
  <c r="H148" i="2"/>
  <c r="Y37" i="6"/>
  <c r="U40" i="6"/>
  <c r="M40" i="6" s="1"/>
  <c r="S40" i="6" s="1"/>
  <c r="X38" i="6"/>
  <c r="E38" i="6" s="1"/>
  <c r="X20" i="6"/>
  <c r="Y20" i="6" s="1"/>
  <c r="E91" i="6"/>
  <c r="Y91" i="6"/>
  <c r="X21" i="6"/>
  <c r="Y21" i="6" s="1"/>
  <c r="Q21" i="6"/>
  <c r="T21" i="6"/>
  <c r="P39" i="6"/>
  <c r="W39" i="6" s="1"/>
  <c r="S39" i="6"/>
  <c r="V39" i="6" s="1"/>
  <c r="Y14" i="6"/>
  <c r="E14" i="6"/>
  <c r="Q20" i="6"/>
  <c r="T20" i="6"/>
  <c r="X16" i="6"/>
  <c r="J23" i="6"/>
  <c r="K23" i="6" s="1"/>
  <c r="N23" i="6"/>
  <c r="P23" i="6"/>
  <c r="W23" i="6" s="1"/>
  <c r="S23" i="6"/>
  <c r="V23" i="6" s="1"/>
  <c r="N39" i="6"/>
  <c r="Y19" i="6"/>
  <c r="E19" i="6"/>
  <c r="N17" i="6"/>
  <c r="P17" i="6"/>
  <c r="W17" i="6" s="1"/>
  <c r="S17" i="6"/>
  <c r="V17" i="6" s="1"/>
  <c r="Q16" i="6"/>
  <c r="T16" i="6"/>
  <c r="M22" i="6"/>
  <c r="J22" i="6" s="1"/>
  <c r="K22" i="6" s="1"/>
  <c r="L41" i="6"/>
  <c r="O40" i="6"/>
  <c r="E15" i="6"/>
  <c r="Y15" i="6"/>
  <c r="X104" i="4" l="1"/>
  <c r="X105" i="4" s="1"/>
  <c r="X106" i="4" s="1"/>
  <c r="X107" i="4" s="1"/>
  <c r="X108" i="4" s="1"/>
  <c r="X109" i="4" s="1"/>
  <c r="X110" i="4" s="1"/>
  <c r="X111" i="4" s="1"/>
  <c r="X112" i="4" s="1"/>
  <c r="X113" i="4" s="1"/>
  <c r="X114" i="4" s="1"/>
  <c r="X115" i="4" s="1"/>
  <c r="X116" i="4" s="1"/>
  <c r="X117" i="4" s="1"/>
  <c r="X118" i="4" s="1"/>
  <c r="X119" i="4" s="1"/>
  <c r="X120" i="4" s="1"/>
  <c r="X121" i="4" s="1"/>
  <c r="X122" i="4" s="1"/>
  <c r="X123" i="4" s="1"/>
  <c r="X124" i="4" s="1"/>
  <c r="X125" i="4" s="1"/>
  <c r="X126" i="4" s="1"/>
  <c r="X127" i="4" s="1"/>
  <c r="X128" i="4" s="1"/>
  <c r="X129" i="4" s="1"/>
  <c r="X130" i="4" s="1"/>
  <c r="X131" i="4" s="1"/>
  <c r="Z41" i="6"/>
  <c r="R105" i="4"/>
  <c r="Q104" i="4"/>
  <c r="S103" i="4"/>
  <c r="S104" i="4" s="1"/>
  <c r="S105" i="4" s="1"/>
  <c r="S106" i="4" s="1"/>
  <c r="S107" i="4" s="1"/>
  <c r="S108" i="4" s="1"/>
  <c r="S109" i="4" s="1"/>
  <c r="S110" i="4" s="1"/>
  <c r="S111" i="4" s="1"/>
  <c r="U102" i="4"/>
  <c r="W103" i="4"/>
  <c r="R105" i="2"/>
  <c r="Q104" i="2"/>
  <c r="S102" i="2"/>
  <c r="S103" i="2" s="1"/>
  <c r="S104" i="2" s="1"/>
  <c r="S105" i="2" s="1"/>
  <c r="S106" i="2" s="1"/>
  <c r="S107" i="2" s="1"/>
  <c r="S108" i="2" s="1"/>
  <c r="S109" i="2" s="1"/>
  <c r="S110" i="2" s="1"/>
  <c r="S111" i="2" s="1"/>
  <c r="T101" i="2"/>
  <c r="D112" i="2"/>
  <c r="I42" i="6"/>
  <c r="G42" i="6" s="1"/>
  <c r="H147" i="2"/>
  <c r="D147" i="2"/>
  <c r="D150" i="2"/>
  <c r="N40" i="6"/>
  <c r="Q40" i="6" s="1"/>
  <c r="Y38" i="6"/>
  <c r="J40" i="6"/>
  <c r="K40" i="6" s="1"/>
  <c r="E21" i="6"/>
  <c r="E20" i="6"/>
  <c r="P40" i="6"/>
  <c r="W40" i="6" s="1"/>
  <c r="X17" i="6"/>
  <c r="Y17" i="6" s="1"/>
  <c r="T17" i="6"/>
  <c r="Q17" i="6"/>
  <c r="Y16" i="6"/>
  <c r="E16" i="6"/>
  <c r="R41" i="6"/>
  <c r="O41" i="6"/>
  <c r="L42" i="6"/>
  <c r="X39" i="6"/>
  <c r="T39" i="6"/>
  <c r="Q39" i="6"/>
  <c r="X23" i="6"/>
  <c r="U41" i="6"/>
  <c r="M41" i="6" s="1"/>
  <c r="N41" i="6" s="1"/>
  <c r="V40" i="6"/>
  <c r="N22" i="6"/>
  <c r="P22" i="6"/>
  <c r="W22" i="6" s="1"/>
  <c r="S22" i="6"/>
  <c r="V22" i="6" s="1"/>
  <c r="Q23" i="6"/>
  <c r="T23" i="6"/>
  <c r="Z42" i="6" l="1"/>
  <c r="Q105" i="4"/>
  <c r="R106" i="4"/>
  <c r="T102" i="4"/>
  <c r="U103" i="4"/>
  <c r="W104" i="4"/>
  <c r="U102" i="2"/>
  <c r="V103" i="2"/>
  <c r="X103" i="2" s="1"/>
  <c r="P114" i="2"/>
  <c r="P115" i="2" s="1"/>
  <c r="P116" i="2" s="1"/>
  <c r="P117" i="2" s="1"/>
  <c r="P118" i="2" s="1"/>
  <c r="P119" i="2" s="1"/>
  <c r="P120" i="2" s="1"/>
  <c r="P121" i="2" s="1"/>
  <c r="P122" i="2" s="1"/>
  <c r="P123" i="2" s="1"/>
  <c r="P124" i="2" s="1"/>
  <c r="P125" i="2" s="1"/>
  <c r="P126" i="2" s="1"/>
  <c r="P127" i="2" s="1"/>
  <c r="P128" i="2" s="1"/>
  <c r="P129" i="2" s="1"/>
  <c r="P130" i="2" s="1"/>
  <c r="P131" i="2" s="1"/>
  <c r="S114" i="2"/>
  <c r="S115" i="2" s="1"/>
  <c r="S116" i="2" s="1"/>
  <c r="S117" i="2" s="1"/>
  <c r="S118" i="2" s="1"/>
  <c r="S119" i="2" s="1"/>
  <c r="S120" i="2" s="1"/>
  <c r="S121" i="2" s="1"/>
  <c r="S122" i="2" s="1"/>
  <c r="S123" i="2" s="1"/>
  <c r="S124" i="2" s="1"/>
  <c r="S125" i="2" s="1"/>
  <c r="S126" i="2" s="1"/>
  <c r="S127" i="2" s="1"/>
  <c r="S128" i="2" s="1"/>
  <c r="S129" i="2" s="1"/>
  <c r="S130" i="2" s="1"/>
  <c r="S131" i="2" s="1"/>
  <c r="Q105" i="2"/>
  <c r="R106" i="2"/>
  <c r="I43" i="6"/>
  <c r="G43" i="6" s="1"/>
  <c r="X40" i="6"/>
  <c r="Y40" i="6" s="1"/>
  <c r="T40" i="6"/>
  <c r="E17" i="6"/>
  <c r="Q22" i="6"/>
  <c r="T22" i="6"/>
  <c r="L43" i="6"/>
  <c r="R43" i="6" s="1"/>
  <c r="O42" i="6"/>
  <c r="S41" i="6"/>
  <c r="V41" i="6" s="1"/>
  <c r="P41" i="6"/>
  <c r="W41" i="6" s="1"/>
  <c r="J41" i="6"/>
  <c r="K41" i="6" s="1"/>
  <c r="Y23" i="6"/>
  <c r="E23" i="6"/>
  <c r="T41" i="6"/>
  <c r="Q41" i="6"/>
  <c r="R42" i="6"/>
  <c r="X22" i="6"/>
  <c r="U42" i="6"/>
  <c r="M42" i="6" s="1"/>
  <c r="N42" i="6" s="1"/>
  <c r="Y39" i="6"/>
  <c r="E39" i="6"/>
  <c r="Z43" i="6" l="1"/>
  <c r="R112" i="4"/>
  <c r="R107" i="4"/>
  <c r="Q106" i="4"/>
  <c r="U104" i="4"/>
  <c r="T103" i="4"/>
  <c r="W105" i="4"/>
  <c r="V104" i="2"/>
  <c r="V105" i="2" s="1"/>
  <c r="V106" i="2" s="1"/>
  <c r="V107" i="2" s="1"/>
  <c r="V108" i="2" s="1"/>
  <c r="V109" i="2" s="1"/>
  <c r="V110" i="2" s="1"/>
  <c r="V111" i="2" s="1"/>
  <c r="V112" i="2" s="1"/>
  <c r="V113" i="2" s="1"/>
  <c r="V114" i="2" s="1"/>
  <c r="V115" i="2" s="1"/>
  <c r="V116" i="2" s="1"/>
  <c r="V117" i="2" s="1"/>
  <c r="V118" i="2" s="1"/>
  <c r="V119" i="2" s="1"/>
  <c r="V120" i="2" s="1"/>
  <c r="V121" i="2" s="1"/>
  <c r="V122" i="2" s="1"/>
  <c r="V123" i="2" s="1"/>
  <c r="V124" i="2" s="1"/>
  <c r="V125" i="2" s="1"/>
  <c r="V126" i="2" s="1"/>
  <c r="V127" i="2" s="1"/>
  <c r="V128" i="2" s="1"/>
  <c r="V129" i="2" s="1"/>
  <c r="V130" i="2" s="1"/>
  <c r="V131" i="2" s="1"/>
  <c r="Q106" i="2"/>
  <c r="R112" i="2"/>
  <c r="R107" i="2"/>
  <c r="T102" i="2"/>
  <c r="U103" i="2"/>
  <c r="U104" i="2" s="1"/>
  <c r="U105" i="2" s="1"/>
  <c r="U106" i="2" s="1"/>
  <c r="I44" i="6"/>
  <c r="G44" i="6" s="1"/>
  <c r="E40" i="6"/>
  <c r="Q42" i="6"/>
  <c r="T42" i="6"/>
  <c r="Y22" i="6"/>
  <c r="E22" i="6"/>
  <c r="U43" i="6"/>
  <c r="M43" i="6" s="1"/>
  <c r="N43" i="6" s="1"/>
  <c r="L44" i="6"/>
  <c r="O43" i="6"/>
  <c r="P42" i="6"/>
  <c r="W42" i="6" s="1"/>
  <c r="S42" i="6"/>
  <c r="V42" i="6" s="1"/>
  <c r="J42" i="6"/>
  <c r="K42" i="6" s="1"/>
  <c r="X41" i="6"/>
  <c r="X104" i="2" l="1"/>
  <c r="X105" i="2" s="1"/>
  <c r="X106" i="2" s="1"/>
  <c r="X107" i="2" s="1"/>
  <c r="X108" i="2" s="1"/>
  <c r="X109" i="2" s="1"/>
  <c r="X110" i="2" s="1"/>
  <c r="X111" i="2" s="1"/>
  <c r="X112" i="2" s="1"/>
  <c r="X113" i="2" s="1"/>
  <c r="X114" i="2" s="1"/>
  <c r="X115" i="2" s="1"/>
  <c r="X116" i="2" s="1"/>
  <c r="X117" i="2" s="1"/>
  <c r="X118" i="2" s="1"/>
  <c r="X119" i="2" s="1"/>
  <c r="X120" i="2" s="1"/>
  <c r="X121" i="2" s="1"/>
  <c r="X122" i="2" s="1"/>
  <c r="X123" i="2" s="1"/>
  <c r="X124" i="2" s="1"/>
  <c r="X125" i="2" s="1"/>
  <c r="X126" i="2" s="1"/>
  <c r="X127" i="2" s="1"/>
  <c r="X128" i="2" s="1"/>
  <c r="X129" i="2" s="1"/>
  <c r="X130" i="2" s="1"/>
  <c r="X131" i="2" s="1"/>
  <c r="U107" i="2"/>
  <c r="U108" i="2" s="1"/>
  <c r="U109" i="2" s="1"/>
  <c r="U110" i="2" s="1"/>
  <c r="U111" i="2" s="1"/>
  <c r="U112" i="2"/>
  <c r="U113" i="2" s="1"/>
  <c r="U114" i="2" s="1"/>
  <c r="U115" i="2" s="1"/>
  <c r="U116" i="2" s="1"/>
  <c r="U117" i="2" s="1"/>
  <c r="U118" i="2" s="1"/>
  <c r="U119" i="2" s="1"/>
  <c r="U120" i="2" s="1"/>
  <c r="U121" i="2" s="1"/>
  <c r="U122" i="2" s="1"/>
  <c r="U123" i="2" s="1"/>
  <c r="U124" i="2" s="1"/>
  <c r="U125" i="2" s="1"/>
  <c r="U126" i="2" s="1"/>
  <c r="U127" i="2" s="1"/>
  <c r="U128" i="2" s="1"/>
  <c r="U129" i="2" s="1"/>
  <c r="U130" i="2" s="1"/>
  <c r="U131" i="2" s="1"/>
  <c r="Z44" i="6"/>
  <c r="Q107" i="4"/>
  <c r="R108" i="4"/>
  <c r="Q112" i="4"/>
  <c r="R113" i="4"/>
  <c r="R114" i="4" s="1"/>
  <c r="R115" i="4" s="1"/>
  <c r="R116" i="4" s="1"/>
  <c r="R117" i="4" s="1"/>
  <c r="R118" i="4" s="1"/>
  <c r="R119" i="4" s="1"/>
  <c r="R120" i="4" s="1"/>
  <c r="R121" i="4" s="1"/>
  <c r="R122" i="4" s="1"/>
  <c r="R123" i="4" s="1"/>
  <c r="R124" i="4" s="1"/>
  <c r="R125" i="4" s="1"/>
  <c r="R126" i="4" s="1"/>
  <c r="R127" i="4" s="1"/>
  <c r="R128" i="4" s="1"/>
  <c r="R129" i="4" s="1"/>
  <c r="R130" i="4" s="1"/>
  <c r="R131" i="4" s="1"/>
  <c r="U105" i="4"/>
  <c r="T104" i="4"/>
  <c r="W106" i="4"/>
  <c r="W103" i="2"/>
  <c r="Q107" i="2"/>
  <c r="R108" i="2"/>
  <c r="T103" i="2"/>
  <c r="R113" i="2"/>
  <c r="R114" i="2" s="1"/>
  <c r="R115" i="2" s="1"/>
  <c r="R116" i="2" s="1"/>
  <c r="R117" i="2" s="1"/>
  <c r="R118" i="2" s="1"/>
  <c r="R119" i="2" s="1"/>
  <c r="R120" i="2" s="1"/>
  <c r="R121" i="2" s="1"/>
  <c r="R122" i="2" s="1"/>
  <c r="R123" i="2" s="1"/>
  <c r="R124" i="2" s="1"/>
  <c r="R125" i="2" s="1"/>
  <c r="R126" i="2" s="1"/>
  <c r="R127" i="2" s="1"/>
  <c r="R128" i="2" s="1"/>
  <c r="R129" i="2" s="1"/>
  <c r="R130" i="2" s="1"/>
  <c r="R131" i="2" s="1"/>
  <c r="Q112" i="2"/>
  <c r="I45" i="6"/>
  <c r="G45" i="6" s="1"/>
  <c r="X42" i="6"/>
  <c r="Q43" i="6"/>
  <c r="T43" i="6"/>
  <c r="E41" i="6"/>
  <c r="Y41" i="6"/>
  <c r="U44" i="6"/>
  <c r="M44" i="6" s="1"/>
  <c r="N44" i="6" s="1"/>
  <c r="L45" i="6"/>
  <c r="R45" i="6" s="1"/>
  <c r="O44" i="6"/>
  <c r="P43" i="6"/>
  <c r="W43" i="6" s="1"/>
  <c r="S43" i="6"/>
  <c r="V43" i="6" s="1"/>
  <c r="J43" i="6"/>
  <c r="K43" i="6" s="1"/>
  <c r="R44" i="6"/>
  <c r="Z45" i="6" l="1"/>
  <c r="Q113" i="4"/>
  <c r="R109" i="4"/>
  <c r="Q108" i="4"/>
  <c r="T105" i="4"/>
  <c r="U106" i="4"/>
  <c r="W107" i="4"/>
  <c r="T104" i="2"/>
  <c r="Q113" i="2"/>
  <c r="R109" i="2"/>
  <c r="Q108" i="2"/>
  <c r="W104" i="2"/>
  <c r="I46" i="6"/>
  <c r="G46" i="6" s="1"/>
  <c r="U45" i="6"/>
  <c r="M45" i="6" s="1"/>
  <c r="S45" i="6" s="1"/>
  <c r="Q44" i="6"/>
  <c r="T44" i="6"/>
  <c r="O45" i="6"/>
  <c r="L46" i="6"/>
  <c r="U46" i="6" s="1"/>
  <c r="P44" i="6"/>
  <c r="W44" i="6" s="1"/>
  <c r="S44" i="6"/>
  <c r="V44" i="6" s="1"/>
  <c r="J44" i="6"/>
  <c r="K44" i="6" s="1"/>
  <c r="X43" i="6"/>
  <c r="E42" i="6"/>
  <c r="Y42" i="6"/>
  <c r="Z46" i="6" l="1"/>
  <c r="R110" i="4"/>
  <c r="Q109" i="4"/>
  <c r="Q114" i="4"/>
  <c r="U112" i="4"/>
  <c r="T106" i="4"/>
  <c r="U107" i="4"/>
  <c r="W108" i="4"/>
  <c r="W105" i="2"/>
  <c r="Q114" i="2"/>
  <c r="T105" i="2"/>
  <c r="R110" i="2"/>
  <c r="Q109" i="2"/>
  <c r="I48" i="6"/>
  <c r="I47" i="6"/>
  <c r="G47" i="6" s="1"/>
  <c r="M46" i="6"/>
  <c r="P46" i="6" s="1"/>
  <c r="N45" i="6"/>
  <c r="T45" i="6" s="1"/>
  <c r="J45" i="6"/>
  <c r="K45" i="6" s="1"/>
  <c r="P45" i="6"/>
  <c r="W45" i="6" s="1"/>
  <c r="X44" i="6"/>
  <c r="R46" i="6"/>
  <c r="L47" i="6"/>
  <c r="U47" i="6" s="1"/>
  <c r="O46" i="6"/>
  <c r="E43" i="6"/>
  <c r="Y43" i="6"/>
  <c r="V45" i="6"/>
  <c r="Z47" i="6" l="1"/>
  <c r="Z48" i="6" s="1"/>
  <c r="Z49" i="6" s="1"/>
  <c r="Z50" i="6" s="1"/>
  <c r="Z51" i="6" s="1"/>
  <c r="Z52" i="6" s="1"/>
  <c r="Z53" i="6" s="1"/>
  <c r="Z54" i="6" s="1"/>
  <c r="Z55" i="6" s="1"/>
  <c r="Z56" i="6" s="1"/>
  <c r="Q115" i="4"/>
  <c r="R111" i="4"/>
  <c r="Q111" i="4" s="1"/>
  <c r="Q110" i="4"/>
  <c r="U108" i="4"/>
  <c r="T107" i="4"/>
  <c r="U113" i="4"/>
  <c r="U114" i="4" s="1"/>
  <c r="U115" i="4" s="1"/>
  <c r="U116" i="4" s="1"/>
  <c r="U117" i="4" s="1"/>
  <c r="U118" i="4" s="1"/>
  <c r="U119" i="4" s="1"/>
  <c r="U120" i="4" s="1"/>
  <c r="U121" i="4" s="1"/>
  <c r="U122" i="4" s="1"/>
  <c r="U123" i="4" s="1"/>
  <c r="U124" i="4" s="1"/>
  <c r="U125" i="4" s="1"/>
  <c r="U126" i="4" s="1"/>
  <c r="U127" i="4" s="1"/>
  <c r="U128" i="4" s="1"/>
  <c r="U129" i="4" s="1"/>
  <c r="U130" i="4" s="1"/>
  <c r="U131" i="4" s="1"/>
  <c r="T112" i="4"/>
  <c r="W109" i="4"/>
  <c r="R111" i="2"/>
  <c r="Q111" i="2" s="1"/>
  <c r="Q110" i="2"/>
  <c r="Q115" i="2"/>
  <c r="T106" i="2"/>
  <c r="W106" i="2"/>
  <c r="M47" i="6"/>
  <c r="P47" i="6" s="1"/>
  <c r="Q45" i="6"/>
  <c r="N46" i="6"/>
  <c r="Q46" i="6" s="1"/>
  <c r="W46" i="6"/>
  <c r="X45" i="6"/>
  <c r="Y45" i="6" s="1"/>
  <c r="J46" i="6"/>
  <c r="K46" i="6" s="1"/>
  <c r="S46" i="6"/>
  <c r="V46" i="6" s="1"/>
  <c r="R47" i="6"/>
  <c r="G48" i="6"/>
  <c r="L48" i="6"/>
  <c r="R48" i="6" s="1"/>
  <c r="O47" i="6"/>
  <c r="Y44" i="6"/>
  <c r="E44" i="6"/>
  <c r="Q116" i="4" l="1"/>
  <c r="T113" i="4"/>
  <c r="T108" i="4"/>
  <c r="U109" i="4"/>
  <c r="W110" i="4"/>
  <c r="W107" i="2"/>
  <c r="T112" i="2"/>
  <c r="Q116" i="2"/>
  <c r="T107" i="2"/>
  <c r="E45" i="6"/>
  <c r="N47" i="6"/>
  <c r="Q47" i="6" s="1"/>
  <c r="W47" i="6"/>
  <c r="J47" i="6"/>
  <c r="K47" i="6" s="1"/>
  <c r="S47" i="6"/>
  <c r="V47" i="6" s="1"/>
  <c r="X46" i="6"/>
  <c r="E46" i="6" s="1"/>
  <c r="T46" i="6"/>
  <c r="U48" i="6"/>
  <c r="M48" i="6" s="1"/>
  <c r="P48" i="6" s="1"/>
  <c r="W48" i="6" s="1"/>
  <c r="L49" i="6"/>
  <c r="O48" i="6"/>
  <c r="Q117" i="4" l="1"/>
  <c r="T109" i="4"/>
  <c r="U110" i="4"/>
  <c r="T114" i="4"/>
  <c r="W111" i="4"/>
  <c r="T113" i="2"/>
  <c r="Q117" i="2"/>
  <c r="W108" i="2"/>
  <c r="T108" i="2"/>
  <c r="T47" i="6"/>
  <c r="X47" i="6"/>
  <c r="Y47" i="6" s="1"/>
  <c r="Y46" i="6"/>
  <c r="N48" i="6"/>
  <c r="Q48" i="6" s="1"/>
  <c r="S48" i="6"/>
  <c r="V48" i="6" s="1"/>
  <c r="X48" i="6" s="1"/>
  <c r="J48" i="6"/>
  <c r="K48" i="6" s="1"/>
  <c r="L92" i="6"/>
  <c r="R49" i="6"/>
  <c r="R92" i="6" s="1"/>
  <c r="L50" i="6"/>
  <c r="U49" i="6"/>
  <c r="L71" i="6"/>
  <c r="O49" i="6"/>
  <c r="O92" i="6" s="1"/>
  <c r="Q118" i="4" l="1"/>
  <c r="T115" i="4"/>
  <c r="T110" i="4"/>
  <c r="U111" i="4"/>
  <c r="T111" i="4" s="1"/>
  <c r="W112" i="4"/>
  <c r="W109" i="2"/>
  <c r="Q118" i="2"/>
  <c r="T114" i="2"/>
  <c r="T109" i="2"/>
  <c r="E47" i="6"/>
  <c r="E92" i="6" s="1"/>
  <c r="T48" i="6"/>
  <c r="L51" i="6"/>
  <c r="U50" i="6"/>
  <c r="M50" i="6" s="1"/>
  <c r="N50" i="6" s="1"/>
  <c r="O50" i="6"/>
  <c r="R50" i="6"/>
  <c r="L70" i="6"/>
  <c r="U71" i="6"/>
  <c r="M71" i="6" s="1"/>
  <c r="O71" i="6"/>
  <c r="R71" i="6"/>
  <c r="U92" i="6"/>
  <c r="M49" i="6"/>
  <c r="E48" i="6"/>
  <c r="Y48" i="6"/>
  <c r="Q119" i="4" l="1"/>
  <c r="T116" i="4"/>
  <c r="W113" i="4"/>
  <c r="Q119" i="2"/>
  <c r="W110" i="2"/>
  <c r="T110" i="2"/>
  <c r="T111" i="2"/>
  <c r="T115" i="2"/>
  <c r="S71" i="6"/>
  <c r="V71" i="6" s="1"/>
  <c r="P71" i="6"/>
  <c r="W71" i="6" s="1"/>
  <c r="J71" i="6"/>
  <c r="K71" i="6" s="1"/>
  <c r="U70" i="6"/>
  <c r="M70" i="6" s="1"/>
  <c r="N70" i="6" s="1"/>
  <c r="R70" i="6"/>
  <c r="L69" i="6"/>
  <c r="O70" i="6"/>
  <c r="Q50" i="6"/>
  <c r="T50" i="6"/>
  <c r="J49" i="6"/>
  <c r="P49" i="6"/>
  <c r="M92" i="6"/>
  <c r="S49" i="6"/>
  <c r="N49" i="6"/>
  <c r="N71" i="6"/>
  <c r="J50" i="6"/>
  <c r="K50" i="6" s="1"/>
  <c r="P50" i="6"/>
  <c r="W50" i="6" s="1"/>
  <c r="S50" i="6"/>
  <c r="V50" i="6" s="1"/>
  <c r="L52" i="6"/>
  <c r="O51" i="6"/>
  <c r="U51" i="6"/>
  <c r="M51" i="6" s="1"/>
  <c r="R51" i="6"/>
  <c r="Q120" i="4" l="1"/>
  <c r="T117" i="4"/>
  <c r="W114" i="4"/>
  <c r="T116" i="2"/>
  <c r="W111" i="2"/>
  <c r="Q120" i="2"/>
  <c r="X71" i="6"/>
  <c r="E71" i="6" s="1"/>
  <c r="N92" i="6"/>
  <c r="Q49" i="6"/>
  <c r="Q92" i="6" s="1"/>
  <c r="T49" i="6"/>
  <c r="T92" i="6" s="1"/>
  <c r="S92" i="6"/>
  <c r="V49" i="6"/>
  <c r="V92" i="6" s="1"/>
  <c r="L68" i="6"/>
  <c r="U69" i="6"/>
  <c r="M69" i="6" s="1"/>
  <c r="O69" i="6"/>
  <c r="R69" i="6"/>
  <c r="U52" i="6"/>
  <c r="M52" i="6" s="1"/>
  <c r="N52" i="6" s="1"/>
  <c r="L53" i="6"/>
  <c r="R52" i="6"/>
  <c r="O52" i="6"/>
  <c r="Q70" i="6"/>
  <c r="T70" i="6"/>
  <c r="P92" i="6"/>
  <c r="W49" i="6"/>
  <c r="J70" i="6"/>
  <c r="K70" i="6" s="1"/>
  <c r="P70" i="6"/>
  <c r="W70" i="6" s="1"/>
  <c r="S70" i="6"/>
  <c r="V70" i="6" s="1"/>
  <c r="X50" i="6"/>
  <c r="K49" i="6"/>
  <c r="K92" i="6" s="1"/>
  <c r="J92" i="6"/>
  <c r="P51" i="6"/>
  <c r="W51" i="6" s="1"/>
  <c r="J51" i="6"/>
  <c r="K51" i="6" s="1"/>
  <c r="S51" i="6"/>
  <c r="V51" i="6" s="1"/>
  <c r="N51" i="6"/>
  <c r="Q71" i="6"/>
  <c r="T71" i="6"/>
  <c r="Q121" i="4" l="1"/>
  <c r="T118" i="4"/>
  <c r="W115" i="4"/>
  <c r="W112" i="2"/>
  <c r="Q121" i="2"/>
  <c r="T117" i="2"/>
  <c r="Y71" i="6"/>
  <c r="T52" i="6"/>
  <c r="Q52" i="6"/>
  <c r="P69" i="6"/>
  <c r="W69" i="6" s="1"/>
  <c r="S69" i="6"/>
  <c r="V69" i="6" s="1"/>
  <c r="J69" i="6"/>
  <c r="K69" i="6" s="1"/>
  <c r="E50" i="6"/>
  <c r="Y50" i="6"/>
  <c r="X70" i="6"/>
  <c r="R68" i="6"/>
  <c r="O68" i="6"/>
  <c r="L67" i="6"/>
  <c r="U68" i="6"/>
  <c r="M68" i="6" s="1"/>
  <c r="N68" i="6" s="1"/>
  <c r="T51" i="6"/>
  <c r="Q51" i="6"/>
  <c r="L54" i="6"/>
  <c r="O53" i="6"/>
  <c r="R53" i="6"/>
  <c r="U53" i="6"/>
  <c r="M53" i="6" s="1"/>
  <c r="W92" i="6"/>
  <c r="X49" i="6"/>
  <c r="S52" i="6"/>
  <c r="V52" i="6" s="1"/>
  <c r="P52" i="6"/>
  <c r="W52" i="6" s="1"/>
  <c r="J52" i="6"/>
  <c r="K52" i="6" s="1"/>
  <c r="X51" i="6"/>
  <c r="N69" i="6"/>
  <c r="Q122" i="4" l="1"/>
  <c r="T119" i="4"/>
  <c r="W116" i="4"/>
  <c r="Q122" i="2"/>
  <c r="T118" i="2"/>
  <c r="W113" i="2"/>
  <c r="Q68" i="6"/>
  <c r="T68" i="6"/>
  <c r="Y70" i="6"/>
  <c r="E70" i="6"/>
  <c r="X52" i="6"/>
  <c r="X92" i="6"/>
  <c r="Y49" i="6"/>
  <c r="Y92" i="6" s="1"/>
  <c r="E49" i="6"/>
  <c r="P68" i="6"/>
  <c r="W68" i="6" s="1"/>
  <c r="S68" i="6"/>
  <c r="V68" i="6" s="1"/>
  <c r="J68" i="6"/>
  <c r="K68" i="6" s="1"/>
  <c r="N53" i="6"/>
  <c r="J53" i="6"/>
  <c r="K53" i="6" s="1"/>
  <c r="S53" i="6"/>
  <c r="V53" i="6" s="1"/>
  <c r="P53" i="6"/>
  <c r="W53" i="6" s="1"/>
  <c r="L66" i="6"/>
  <c r="O67" i="6"/>
  <c r="R67" i="6"/>
  <c r="U67" i="6"/>
  <c r="M67" i="6" s="1"/>
  <c r="X69" i="6"/>
  <c r="L55" i="6"/>
  <c r="O54" i="6"/>
  <c r="R54" i="6"/>
  <c r="U54" i="6"/>
  <c r="M54" i="6" s="1"/>
  <c r="Q69" i="6"/>
  <c r="T69" i="6"/>
  <c r="Y51" i="6"/>
  <c r="E51" i="6"/>
  <c r="Q123" i="4" l="1"/>
  <c r="T120" i="4"/>
  <c r="W117" i="4"/>
  <c r="W114" i="2"/>
  <c r="T119" i="2"/>
  <c r="Q123" i="2"/>
  <c r="X53" i="6"/>
  <c r="E53" i="6" s="1"/>
  <c r="N54" i="6"/>
  <c r="P54" i="6"/>
  <c r="W54" i="6" s="1"/>
  <c r="S54" i="6"/>
  <c r="V54" i="6" s="1"/>
  <c r="J54" i="6"/>
  <c r="K54" i="6" s="1"/>
  <c r="L65" i="6"/>
  <c r="U66" i="6"/>
  <c r="M66" i="6" s="1"/>
  <c r="N66" i="6" s="1"/>
  <c r="O66" i="6"/>
  <c r="R66" i="6"/>
  <c r="Y52" i="6"/>
  <c r="E52" i="6"/>
  <c r="E69" i="6"/>
  <c r="Y69" i="6"/>
  <c r="Q53" i="6"/>
  <c r="T53" i="6"/>
  <c r="L56" i="6"/>
  <c r="O55" i="6"/>
  <c r="R55" i="6"/>
  <c r="U55" i="6"/>
  <c r="M55" i="6" s="1"/>
  <c r="N55" i="6" s="1"/>
  <c r="N67" i="6"/>
  <c r="S67" i="6"/>
  <c r="V67" i="6" s="1"/>
  <c r="J67" i="6"/>
  <c r="K67" i="6" s="1"/>
  <c r="P67" i="6"/>
  <c r="W67" i="6" s="1"/>
  <c r="X68" i="6"/>
  <c r="Q124" i="4" l="1"/>
  <c r="T121" i="4"/>
  <c r="W118" i="4"/>
  <c r="Q124" i="2"/>
  <c r="T120" i="2"/>
  <c r="W115" i="2"/>
  <c r="Y53" i="6"/>
  <c r="Q66" i="6"/>
  <c r="T66" i="6"/>
  <c r="Q67" i="6"/>
  <c r="T67" i="6"/>
  <c r="J66" i="6"/>
  <c r="K66" i="6" s="1"/>
  <c r="P66" i="6"/>
  <c r="W66" i="6" s="1"/>
  <c r="S66" i="6"/>
  <c r="V66" i="6" s="1"/>
  <c r="P55" i="6"/>
  <c r="W55" i="6" s="1"/>
  <c r="S55" i="6"/>
  <c r="V55" i="6" s="1"/>
  <c r="J55" i="6"/>
  <c r="K55" i="6" s="1"/>
  <c r="R65" i="6"/>
  <c r="O65" i="6"/>
  <c r="U65" i="6"/>
  <c r="M65" i="6" s="1"/>
  <c r="N65" i="6" s="1"/>
  <c r="L64" i="6"/>
  <c r="Y68" i="6"/>
  <c r="E68" i="6"/>
  <c r="X67" i="6"/>
  <c r="U56" i="6"/>
  <c r="M56" i="6" s="1"/>
  <c r="N56" i="6" s="1"/>
  <c r="O56" i="6"/>
  <c r="R56" i="6"/>
  <c r="X54" i="6"/>
  <c r="Q55" i="6"/>
  <c r="T55" i="6"/>
  <c r="T54" i="6"/>
  <c r="Q54" i="6"/>
  <c r="Q125" i="4" l="1"/>
  <c r="T122" i="4"/>
  <c r="W119" i="4"/>
  <c r="T121" i="2"/>
  <c r="W116" i="2"/>
  <c r="Q125" i="2"/>
  <c r="Q65" i="6"/>
  <c r="T65" i="6"/>
  <c r="E54" i="6"/>
  <c r="Y54" i="6"/>
  <c r="O64" i="6"/>
  <c r="R64" i="6"/>
  <c r="U64" i="6"/>
  <c r="M64" i="6" s="1"/>
  <c r="L63" i="6"/>
  <c r="X66" i="6"/>
  <c r="T56" i="6"/>
  <c r="Q56" i="6"/>
  <c r="J56" i="6"/>
  <c r="K56" i="6" s="1"/>
  <c r="P56" i="6"/>
  <c r="W56" i="6" s="1"/>
  <c r="S56" i="6"/>
  <c r="V56" i="6" s="1"/>
  <c r="J65" i="6"/>
  <c r="K65" i="6" s="1"/>
  <c r="S65" i="6"/>
  <c r="V65" i="6" s="1"/>
  <c r="P65" i="6"/>
  <c r="W65" i="6" s="1"/>
  <c r="Y67" i="6"/>
  <c r="E67" i="6"/>
  <c r="X55" i="6"/>
  <c r="Q126" i="4" l="1"/>
  <c r="T123" i="4"/>
  <c r="W120" i="4"/>
  <c r="W117" i="2"/>
  <c r="Q126" i="2"/>
  <c r="T122" i="2"/>
  <c r="X65" i="6"/>
  <c r="E65" i="6" s="1"/>
  <c r="N64" i="6"/>
  <c r="S64" i="6"/>
  <c r="V64" i="6" s="1"/>
  <c r="P64" i="6"/>
  <c r="W64" i="6" s="1"/>
  <c r="J64" i="6"/>
  <c r="K64" i="6" s="1"/>
  <c r="U63" i="6"/>
  <c r="M63" i="6" s="1"/>
  <c r="L62" i="6"/>
  <c r="O63" i="6"/>
  <c r="R63" i="6"/>
  <c r="X56" i="6"/>
  <c r="Y55" i="6"/>
  <c r="E55" i="6"/>
  <c r="E66" i="6"/>
  <c r="Y66" i="6"/>
  <c r="Q127" i="4" l="1"/>
  <c r="T124" i="4"/>
  <c r="W121" i="4"/>
  <c r="Q127" i="2"/>
  <c r="W118" i="2"/>
  <c r="T123" i="2"/>
  <c r="Y65" i="6"/>
  <c r="L61" i="6"/>
  <c r="O62" i="6"/>
  <c r="U62" i="6"/>
  <c r="M62" i="6" s="1"/>
  <c r="N62" i="6" s="1"/>
  <c r="R62" i="6"/>
  <c r="S63" i="6"/>
  <c r="S58" i="6" s="1"/>
  <c r="P63" i="6"/>
  <c r="J63" i="6"/>
  <c r="K63" i="6" s="1"/>
  <c r="X64" i="6"/>
  <c r="Y56" i="6"/>
  <c r="E56" i="6"/>
  <c r="N63" i="6"/>
  <c r="Q64" i="6"/>
  <c r="T64" i="6"/>
  <c r="Q128" i="4" l="1"/>
  <c r="T125" i="4"/>
  <c r="W122" i="4"/>
  <c r="T124" i="2"/>
  <c r="W119" i="2"/>
  <c r="Q128" i="2"/>
  <c r="T62" i="6"/>
  <c r="Q62" i="6"/>
  <c r="P58" i="6"/>
  <c r="W63" i="6"/>
  <c r="T63" i="6"/>
  <c r="Q63" i="6"/>
  <c r="P62" i="6"/>
  <c r="W62" i="6" s="1"/>
  <c r="S62" i="6"/>
  <c r="V62" i="6" s="1"/>
  <c r="J62" i="6"/>
  <c r="K62" i="6" s="1"/>
  <c r="E64" i="6"/>
  <c r="Y64" i="6"/>
  <c r="V63" i="6"/>
  <c r="L60" i="6"/>
  <c r="R61" i="6"/>
  <c r="U61" i="6"/>
  <c r="M61" i="6" s="1"/>
  <c r="O61" i="6"/>
  <c r="Q129" i="4" l="1"/>
  <c r="T126" i="4"/>
  <c r="W123" i="4"/>
  <c r="Q129" i="2"/>
  <c r="W120" i="2"/>
  <c r="T125" i="2"/>
  <c r="S61" i="6"/>
  <c r="V61" i="6" s="1"/>
  <c r="J61" i="6"/>
  <c r="K61" i="6" s="1"/>
  <c r="P61" i="6"/>
  <c r="W61" i="6" s="1"/>
  <c r="X62" i="6"/>
  <c r="U60" i="6"/>
  <c r="M60" i="6" s="1"/>
  <c r="N60" i="6" s="1"/>
  <c r="R60" i="6"/>
  <c r="O60" i="6"/>
  <c r="X63" i="6"/>
  <c r="N61" i="6"/>
  <c r="Q130" i="4" l="1"/>
  <c r="Q131" i="4"/>
  <c r="T127" i="4"/>
  <c r="W124" i="4"/>
  <c r="T126" i="2"/>
  <c r="W121" i="2"/>
  <c r="Q130" i="2"/>
  <c r="Q131" i="2"/>
  <c r="X61" i="6"/>
  <c r="E61" i="6" s="1"/>
  <c r="Q60" i="6"/>
  <c r="T60" i="6"/>
  <c r="P60" i="6"/>
  <c r="W60" i="6" s="1"/>
  <c r="S60" i="6"/>
  <c r="V60" i="6" s="1"/>
  <c r="J60" i="6"/>
  <c r="K60" i="6" s="1"/>
  <c r="T61" i="6"/>
  <c r="Q61" i="6"/>
  <c r="E62" i="6"/>
  <c r="Y62" i="6"/>
  <c r="E63" i="6"/>
  <c r="Y63" i="6"/>
  <c r="T128" i="4" l="1"/>
  <c r="W125" i="4"/>
  <c r="W122" i="2"/>
  <c r="T127" i="2"/>
  <c r="Y61" i="6"/>
  <c r="X60" i="6"/>
  <c r="T129" i="4" l="1"/>
  <c r="W126" i="4"/>
  <c r="T128" i="2"/>
  <c r="W123" i="2"/>
  <c r="Y60" i="6"/>
  <c r="E60" i="6"/>
  <c r="T130" i="4" l="1"/>
  <c r="T131" i="4"/>
  <c r="W127" i="4"/>
  <c r="W124" i="2"/>
  <c r="T129" i="2"/>
  <c r="W128" i="4" l="1"/>
  <c r="W125" i="2"/>
  <c r="T131" i="2"/>
  <c r="T130" i="2"/>
  <c r="W129" i="4" l="1"/>
  <c r="W126" i="2"/>
  <c r="W130" i="4" l="1"/>
  <c r="W131" i="4"/>
  <c r="W127" i="2"/>
  <c r="W128" i="2" l="1"/>
  <c r="W129" i="2" l="1"/>
  <c r="W131" i="2" l="1"/>
  <c r="W130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jordi trullén</author>
  </authors>
  <commentList>
    <comment ref="E21" authorId="0" shapeId="0" xr:uid="{00000000-0006-0000-0100-000001000000}">
      <text>
        <r>
          <rPr>
            <sz val="14"/>
            <color indexed="81"/>
            <rFont val="Arial Narrow"/>
            <family val="2"/>
          </rPr>
          <t xml:space="preserve">La </t>
        </r>
        <r>
          <rPr>
            <b/>
            <sz val="14"/>
            <color indexed="81"/>
            <rFont val="Arial Narrow"/>
            <family val="2"/>
          </rPr>
          <t>Tensión de Base Vb</t>
        </r>
        <r>
          <rPr>
            <sz val="14"/>
            <color indexed="81"/>
            <rFont val="Arial Narrow"/>
            <family val="2"/>
          </rPr>
          <t xml:space="preserve"> indica el voltaje a partir del cual el motor entra en desexcitación. Ha de ser menor o igual que la </t>
        </r>
        <r>
          <rPr>
            <b/>
            <sz val="14"/>
            <color indexed="81"/>
            <rFont val="Arial Narrow"/>
            <family val="2"/>
          </rPr>
          <t>tensión máxima a la salida del convertidor Vc</t>
        </r>
        <r>
          <rPr>
            <sz val="14"/>
            <color indexed="81"/>
            <rFont val="Arial Narrow"/>
            <family val="2"/>
          </rPr>
          <t xml:space="preserve">. 
Con el valor de </t>
        </r>
        <r>
          <rPr>
            <b/>
            <sz val="14"/>
            <color indexed="81"/>
            <rFont val="Arial Narrow"/>
            <family val="2"/>
          </rPr>
          <t>Vb</t>
        </r>
        <r>
          <rPr>
            <sz val="14"/>
            <color indexed="81"/>
            <rFont val="Arial Narrow"/>
            <family val="2"/>
          </rPr>
          <t xml:space="preserve"> se fijan la frecuencia, velocidad y potencia del motor en las tablas de servicio S1 y S6.
</t>
        </r>
        <r>
          <rPr>
            <b/>
            <i/>
            <sz val="14"/>
            <color indexed="81"/>
            <rFont val="Arial Narrow"/>
            <family val="2"/>
          </rPr>
          <t>Base Voltage Vb</t>
        </r>
        <r>
          <rPr>
            <i/>
            <sz val="14"/>
            <color indexed="81"/>
            <rFont val="Arial Narrow"/>
            <family val="2"/>
          </rPr>
          <t xml:space="preserve"> indicates the value from which the motor enters in field weakening. It must be less or equal than the </t>
        </r>
        <r>
          <rPr>
            <b/>
            <i/>
            <sz val="14"/>
            <color indexed="81"/>
            <rFont val="Arial Narrow"/>
            <family val="2"/>
          </rPr>
          <t>inverter max. output voltage Vc</t>
        </r>
        <r>
          <rPr>
            <i/>
            <sz val="14"/>
            <color indexed="81"/>
            <rFont val="Arial Narrow"/>
            <family val="2"/>
          </rPr>
          <t xml:space="preserve">.
This </t>
        </r>
        <r>
          <rPr>
            <b/>
            <i/>
            <sz val="14"/>
            <color indexed="81"/>
            <rFont val="Arial Narrow"/>
            <family val="2"/>
          </rPr>
          <t>Vb</t>
        </r>
        <r>
          <rPr>
            <i/>
            <sz val="14"/>
            <color indexed="81"/>
            <rFont val="Arial Narrow"/>
            <family val="2"/>
          </rPr>
          <t xml:space="preserve"> value fix the frequency, speed and power in the S1 and S6 service tables below.</t>
        </r>
      </text>
    </comment>
    <comment ref="F21" authorId="0" shapeId="0" xr:uid="{00000000-0006-0000-0100-000002000000}">
      <text>
        <r>
          <rPr>
            <sz val="14"/>
            <color indexed="81"/>
            <rFont val="Arial Narrow"/>
            <family val="2"/>
          </rPr>
          <t>La</t>
        </r>
        <r>
          <rPr>
            <b/>
            <sz val="14"/>
            <color indexed="81"/>
            <rFont val="Arial Narrow"/>
            <family val="2"/>
          </rPr>
          <t xml:space="preserve"> Tensión de Base Vb</t>
        </r>
        <r>
          <rPr>
            <sz val="14"/>
            <color indexed="81"/>
            <rFont val="Arial Narrow"/>
            <family val="2"/>
          </rPr>
          <t xml:space="preserve"> indica el voltaje a partir del cual el motor entra en desexcitación. Ha de ser menor o igual que la </t>
        </r>
        <r>
          <rPr>
            <b/>
            <sz val="14"/>
            <color indexed="81"/>
            <rFont val="Arial Narrow"/>
            <family val="2"/>
          </rPr>
          <t>tensión máxima a la salida del convertidor Vc</t>
        </r>
        <r>
          <rPr>
            <sz val="14"/>
            <color indexed="81"/>
            <rFont val="Arial Narrow"/>
            <family val="2"/>
          </rPr>
          <t xml:space="preserve">. 
Con el valor de </t>
        </r>
        <r>
          <rPr>
            <b/>
            <sz val="14"/>
            <color indexed="81"/>
            <rFont val="Arial Narrow"/>
            <family val="2"/>
          </rPr>
          <t>Vb</t>
        </r>
        <r>
          <rPr>
            <sz val="14"/>
            <color indexed="81"/>
            <rFont val="Arial Narrow"/>
            <family val="2"/>
          </rPr>
          <t xml:space="preserve"> se fijan la frecuencia, velocidad y potencia del motor en las tablas de servicio S1 y S6.
</t>
        </r>
        <r>
          <rPr>
            <b/>
            <i/>
            <sz val="14"/>
            <color indexed="81"/>
            <rFont val="Arial Narrow"/>
            <family val="2"/>
          </rPr>
          <t>Base Voltage Vb</t>
        </r>
        <r>
          <rPr>
            <i/>
            <sz val="14"/>
            <color indexed="81"/>
            <rFont val="Arial Narrow"/>
            <family val="2"/>
          </rPr>
          <t xml:space="preserve"> indicates the value from which the motor enters in field weakening. It must be less or equal than the </t>
        </r>
        <r>
          <rPr>
            <b/>
            <i/>
            <sz val="14"/>
            <color indexed="81"/>
            <rFont val="Arial Narrow"/>
            <family val="2"/>
          </rPr>
          <t>inverter max. output voltage Vc</t>
        </r>
        <r>
          <rPr>
            <i/>
            <sz val="14"/>
            <color indexed="81"/>
            <rFont val="Arial Narrow"/>
            <family val="2"/>
          </rPr>
          <t xml:space="preserve">.
This </t>
        </r>
        <r>
          <rPr>
            <b/>
            <i/>
            <sz val="14"/>
            <color indexed="81"/>
            <rFont val="Arial Narrow"/>
            <family val="2"/>
          </rPr>
          <t>Vb</t>
        </r>
        <r>
          <rPr>
            <i/>
            <sz val="14"/>
            <color indexed="81"/>
            <rFont val="Arial Narrow"/>
            <family val="2"/>
          </rPr>
          <t xml:space="preserve"> value fix the frequency, speed and power in the S1 and S6 service tables below.</t>
        </r>
      </text>
    </comment>
    <comment ref="L21" authorId="0" shapeId="0" xr:uid="{00000000-0006-0000-0100-000003000000}">
      <text>
        <r>
          <rPr>
            <sz val="14"/>
            <color indexed="81"/>
            <rFont val="Arial Narrow"/>
            <family val="2"/>
          </rPr>
          <t xml:space="preserve">La </t>
        </r>
        <r>
          <rPr>
            <b/>
            <sz val="14"/>
            <color indexed="81"/>
            <rFont val="Arial Narrow"/>
            <family val="2"/>
          </rPr>
          <t>Tensión máxima de salida del convertidor Vc</t>
        </r>
        <r>
          <rPr>
            <sz val="14"/>
            <color indexed="81"/>
            <rFont val="Arial Narrow"/>
            <family val="2"/>
          </rPr>
          <t xml:space="preserve"> indica el voltaje máximo que se puede obtener a la salida del convertidor a partir de la tensión de red. Como máximo puede ser igual a la tensión de la red. El valor de </t>
        </r>
        <r>
          <rPr>
            <b/>
            <sz val="14"/>
            <color indexed="81"/>
            <rFont val="Arial Narrow"/>
            <family val="2"/>
          </rPr>
          <t>Vc</t>
        </r>
        <r>
          <rPr>
            <sz val="14"/>
            <color indexed="81"/>
            <rFont val="Arial Narrow"/>
            <family val="2"/>
          </rPr>
          <t xml:space="preserve"> fija los limites de velocidad del motor para un par o potencia determinado. 
</t>
        </r>
        <r>
          <rPr>
            <b/>
            <i/>
            <sz val="14"/>
            <color indexed="81"/>
            <rFont val="Arial Narrow"/>
            <family val="2"/>
          </rPr>
          <t>Inverter Max. Output Voltage Vc</t>
        </r>
        <r>
          <rPr>
            <i/>
            <sz val="14"/>
            <color indexed="81"/>
            <rFont val="Arial Narrow"/>
            <family val="2"/>
          </rPr>
          <t xml:space="preserve"> indicates the maximum expected voltage at the inverter output from a given network voltage. At maximum it would be equal to the network voltage. </t>
        </r>
        <r>
          <rPr>
            <b/>
            <i/>
            <sz val="14"/>
            <color indexed="81"/>
            <rFont val="Arial Narrow"/>
            <family val="2"/>
          </rPr>
          <t>Vc</t>
        </r>
        <r>
          <rPr>
            <i/>
            <sz val="14"/>
            <color indexed="81"/>
            <rFont val="Arial Narrow"/>
            <family val="2"/>
          </rPr>
          <t xml:space="preserve"> value fix the speed limits of the motor for a given power or torque.
</t>
        </r>
      </text>
    </comment>
    <comment ref="M21" authorId="0" shapeId="0" xr:uid="{00000000-0006-0000-0100-000004000000}">
      <text>
        <r>
          <rPr>
            <sz val="14"/>
            <color indexed="81"/>
            <rFont val="Arial Narrow"/>
            <family val="2"/>
          </rPr>
          <t xml:space="preserve">La </t>
        </r>
        <r>
          <rPr>
            <b/>
            <sz val="14"/>
            <color indexed="81"/>
            <rFont val="Arial Narrow"/>
            <family val="2"/>
          </rPr>
          <t>Tensión máxima de salida del convertidor Vc</t>
        </r>
        <r>
          <rPr>
            <sz val="14"/>
            <color indexed="81"/>
            <rFont val="Arial Narrow"/>
            <family val="2"/>
          </rPr>
          <t xml:space="preserve"> indica el voltaje máximo que se puede obtener a la salida del convertidor a partir de la tensión de red. Como máximo puede ser igual a la tensión de la red. El valor de </t>
        </r>
        <r>
          <rPr>
            <b/>
            <sz val="14"/>
            <color indexed="81"/>
            <rFont val="Arial Narrow"/>
            <family val="2"/>
          </rPr>
          <t>Vc</t>
        </r>
        <r>
          <rPr>
            <sz val="14"/>
            <color indexed="81"/>
            <rFont val="Arial Narrow"/>
            <family val="2"/>
          </rPr>
          <t xml:space="preserve"> fija los limites de velocidad del motor para un par o potencia determinado. 
</t>
        </r>
        <r>
          <rPr>
            <b/>
            <i/>
            <sz val="14"/>
            <color indexed="81"/>
            <rFont val="Arial Narrow"/>
            <family val="2"/>
          </rPr>
          <t>Max. Inverter Output Voltage Vc</t>
        </r>
        <r>
          <rPr>
            <i/>
            <sz val="14"/>
            <color indexed="81"/>
            <rFont val="Arial Narrow"/>
            <family val="2"/>
          </rPr>
          <t xml:space="preserve"> indicates the maximum expected voltage at the inverter output from a given network voltage. At maximum it would be equal to the network voltage. </t>
        </r>
        <r>
          <rPr>
            <b/>
            <i/>
            <sz val="14"/>
            <color indexed="81"/>
            <rFont val="Arial Narrow"/>
            <family val="2"/>
          </rPr>
          <t>Vc</t>
        </r>
        <r>
          <rPr>
            <i/>
            <sz val="14"/>
            <color indexed="81"/>
            <rFont val="Arial Narrow"/>
            <family val="2"/>
          </rPr>
          <t>value fix the speed limits of the motor for a given power or torque.</t>
        </r>
      </text>
    </comment>
    <comment ref="E81" authorId="0" shapeId="0" xr:uid="{00000000-0006-0000-0100-000005000000}">
      <text>
        <r>
          <rPr>
            <sz val="14"/>
            <color indexed="81"/>
            <rFont val="Arial Narrow"/>
            <family val="2"/>
          </rPr>
          <t xml:space="preserve">La </t>
        </r>
        <r>
          <rPr>
            <b/>
            <sz val="14"/>
            <color indexed="81"/>
            <rFont val="Arial Narrow"/>
            <family val="2"/>
          </rPr>
          <t>Tensión de Base Vb</t>
        </r>
        <r>
          <rPr>
            <sz val="14"/>
            <color indexed="81"/>
            <rFont val="Arial Narrow"/>
            <family val="2"/>
          </rPr>
          <t xml:space="preserve"> indica el voltaje a partir del cual el motor entra en desexcitación. Ha de ser menor o igual que la </t>
        </r>
        <r>
          <rPr>
            <b/>
            <sz val="14"/>
            <color indexed="81"/>
            <rFont val="Arial Narrow"/>
            <family val="2"/>
          </rPr>
          <t>tensión máxima a la salida del convertidor Vc</t>
        </r>
        <r>
          <rPr>
            <sz val="14"/>
            <color indexed="81"/>
            <rFont val="Arial Narrow"/>
            <family val="2"/>
          </rPr>
          <t xml:space="preserve">. 
Con el valor de </t>
        </r>
        <r>
          <rPr>
            <b/>
            <sz val="14"/>
            <color indexed="81"/>
            <rFont val="Arial Narrow"/>
            <family val="2"/>
          </rPr>
          <t>Vb</t>
        </r>
        <r>
          <rPr>
            <sz val="14"/>
            <color indexed="81"/>
            <rFont val="Arial Narrow"/>
            <family val="2"/>
          </rPr>
          <t xml:space="preserve"> se fijan la frecuencia, velocidad y potencia del motor en las tablas de servicio S1 y S6.
</t>
        </r>
        <r>
          <rPr>
            <b/>
            <i/>
            <sz val="14"/>
            <color indexed="81"/>
            <rFont val="Arial Narrow"/>
            <family val="2"/>
          </rPr>
          <t>Base Voltage Vb</t>
        </r>
        <r>
          <rPr>
            <i/>
            <sz val="14"/>
            <color indexed="81"/>
            <rFont val="Arial Narrow"/>
            <family val="2"/>
          </rPr>
          <t xml:space="preserve"> indicates the value from which the motor enters in field weakening. It must be less or equal than the </t>
        </r>
        <r>
          <rPr>
            <b/>
            <i/>
            <sz val="14"/>
            <color indexed="81"/>
            <rFont val="Arial Narrow"/>
            <family val="2"/>
          </rPr>
          <t>inverter max. output voltage Vc</t>
        </r>
        <r>
          <rPr>
            <i/>
            <sz val="14"/>
            <color indexed="81"/>
            <rFont val="Arial Narrow"/>
            <family val="2"/>
          </rPr>
          <t xml:space="preserve">.
This </t>
        </r>
        <r>
          <rPr>
            <b/>
            <i/>
            <sz val="14"/>
            <color indexed="81"/>
            <rFont val="Arial Narrow"/>
            <family val="2"/>
          </rPr>
          <t>Vb</t>
        </r>
        <r>
          <rPr>
            <i/>
            <sz val="14"/>
            <color indexed="81"/>
            <rFont val="Arial Narrow"/>
            <family val="2"/>
          </rPr>
          <t xml:space="preserve"> value fix the frequency, speed and power in the S1 and S6 service tables below.</t>
        </r>
      </text>
    </comment>
    <comment ref="L81" authorId="0" shapeId="0" xr:uid="{00000000-0006-0000-0100-000006000000}">
      <text>
        <r>
          <rPr>
            <sz val="14"/>
            <color indexed="81"/>
            <rFont val="Arial Narrow"/>
            <family val="2"/>
          </rPr>
          <t xml:space="preserve">La </t>
        </r>
        <r>
          <rPr>
            <b/>
            <sz val="14"/>
            <color indexed="81"/>
            <rFont val="Arial Narrow"/>
            <family val="2"/>
          </rPr>
          <t>Tensión máxima de salida del convertidor Vc</t>
        </r>
        <r>
          <rPr>
            <sz val="14"/>
            <color indexed="81"/>
            <rFont val="Arial Narrow"/>
            <family val="2"/>
          </rPr>
          <t xml:space="preserve"> indica el voltaje máximo que se puede obtener a la salida del convertidor a partir de la tensión de red. Como máximo puede ser igual a la tensión de la red. El valor de </t>
        </r>
        <r>
          <rPr>
            <b/>
            <sz val="14"/>
            <color indexed="81"/>
            <rFont val="Arial Narrow"/>
            <family val="2"/>
          </rPr>
          <t>Vc</t>
        </r>
        <r>
          <rPr>
            <sz val="14"/>
            <color indexed="81"/>
            <rFont val="Arial Narrow"/>
            <family val="2"/>
          </rPr>
          <t xml:space="preserve"> fija los limites de velocidad del motor para un par o potencia determinado. 
</t>
        </r>
        <r>
          <rPr>
            <b/>
            <i/>
            <sz val="14"/>
            <color indexed="81"/>
            <rFont val="Arial Narrow"/>
            <family val="2"/>
          </rPr>
          <t>Inverter Max. Output Voltage Vc</t>
        </r>
        <r>
          <rPr>
            <i/>
            <sz val="14"/>
            <color indexed="81"/>
            <rFont val="Arial Narrow"/>
            <family val="2"/>
          </rPr>
          <t xml:space="preserve"> indicates the maximum expected voltage at the inverter output from a given network voltage. At maximum it would be equal to the network voltage. </t>
        </r>
        <r>
          <rPr>
            <b/>
            <i/>
            <sz val="14"/>
            <color indexed="81"/>
            <rFont val="Arial Narrow"/>
            <family val="2"/>
          </rPr>
          <t>Vc</t>
        </r>
        <r>
          <rPr>
            <i/>
            <sz val="14"/>
            <color indexed="81"/>
            <rFont val="Arial Narrow"/>
            <family val="2"/>
          </rPr>
          <t xml:space="preserve"> value fix the speed limits of the motor for a given power or torque.
</t>
        </r>
      </text>
    </comment>
    <comment ref="A89" authorId="0" shapeId="0" xr:uid="{00000000-0006-0000-0100-000007000000}">
      <text>
        <r>
          <rPr>
            <sz val="12"/>
            <color indexed="81"/>
            <rFont val="Tahoma"/>
            <family val="2"/>
          </rPr>
          <t xml:space="preserve">Introducir en la tabla los datos de la aplicación para que aparezcan en el gráfico.
</t>
        </r>
        <r>
          <rPr>
            <i/>
            <sz val="12"/>
            <color indexed="81"/>
            <rFont val="Tahoma"/>
            <family val="2"/>
          </rPr>
          <t>Insert in the table the load data in order to be shown on the diagram.</t>
        </r>
      </text>
    </comment>
    <comment ref="A91" authorId="0" shapeId="0" xr:uid="{00000000-0006-0000-0100-000008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  <comment ref="B91" authorId="0" shapeId="0" xr:uid="{00000000-0006-0000-0100-000009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  <comment ref="C91" authorId="0" shapeId="0" xr:uid="{00000000-0006-0000-0100-00000A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  <comment ref="A113" authorId="0" shapeId="0" xr:uid="{00000000-0006-0000-0100-00000B000000}">
      <text>
        <r>
          <rPr>
            <sz val="12"/>
            <color indexed="81"/>
            <rFont val="Tahoma"/>
            <family val="2"/>
          </rPr>
          <t xml:space="preserve">Introducir en la tabla los datos de la aplicación para que aparezcan en el gráfico.
</t>
        </r>
        <r>
          <rPr>
            <i/>
            <sz val="12"/>
            <color indexed="81"/>
            <rFont val="Tahoma"/>
            <family val="2"/>
          </rPr>
          <t>Insert in the table the load data in order to be shown on the diagram.</t>
        </r>
      </text>
    </comment>
    <comment ref="A115" authorId="0" shapeId="0" xr:uid="{00000000-0006-0000-0100-00000C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  <comment ref="B115" authorId="0" shapeId="0" xr:uid="{00000000-0006-0000-0100-00000D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  <comment ref="C115" authorId="0" shapeId="0" xr:uid="{00000000-0006-0000-0100-00000E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jordi trullén</author>
  </authors>
  <commentList>
    <comment ref="E21" authorId="0" shapeId="0" xr:uid="{00000000-0006-0000-0300-000001000000}">
      <text>
        <r>
          <rPr>
            <sz val="14"/>
            <color indexed="81"/>
            <rFont val="Arial Narrow"/>
            <family val="2"/>
          </rPr>
          <t xml:space="preserve">La </t>
        </r>
        <r>
          <rPr>
            <b/>
            <sz val="14"/>
            <color indexed="81"/>
            <rFont val="Arial Narrow"/>
            <family val="2"/>
          </rPr>
          <t>Tensión de Base Vb</t>
        </r>
        <r>
          <rPr>
            <sz val="14"/>
            <color indexed="81"/>
            <rFont val="Arial Narrow"/>
            <family val="2"/>
          </rPr>
          <t xml:space="preserve"> indica el voltaje a partir del cual el motor entra en desexcitación. Ha de ser menor o igual que la </t>
        </r>
        <r>
          <rPr>
            <b/>
            <sz val="14"/>
            <color indexed="81"/>
            <rFont val="Arial Narrow"/>
            <family val="2"/>
          </rPr>
          <t>tensión máxima a la salida del convertidor Vc</t>
        </r>
        <r>
          <rPr>
            <sz val="14"/>
            <color indexed="81"/>
            <rFont val="Arial Narrow"/>
            <family val="2"/>
          </rPr>
          <t xml:space="preserve">. 
Con el valor de </t>
        </r>
        <r>
          <rPr>
            <b/>
            <sz val="14"/>
            <color indexed="81"/>
            <rFont val="Arial Narrow"/>
            <family val="2"/>
          </rPr>
          <t>Vb</t>
        </r>
        <r>
          <rPr>
            <sz val="14"/>
            <color indexed="81"/>
            <rFont val="Arial Narrow"/>
            <family val="2"/>
          </rPr>
          <t xml:space="preserve"> se fijan la frecuencia, velocidad y potencia del motor en las tablas de servicio S1 y S6.
</t>
        </r>
        <r>
          <rPr>
            <b/>
            <i/>
            <sz val="14"/>
            <color indexed="81"/>
            <rFont val="Arial Narrow"/>
            <family val="2"/>
          </rPr>
          <t>Base Voltage Vb</t>
        </r>
        <r>
          <rPr>
            <i/>
            <sz val="14"/>
            <color indexed="81"/>
            <rFont val="Arial Narrow"/>
            <family val="2"/>
          </rPr>
          <t xml:space="preserve"> indicates the value from which the motor enters in field weakening. It must be less or equal than the </t>
        </r>
        <r>
          <rPr>
            <b/>
            <i/>
            <sz val="14"/>
            <color indexed="81"/>
            <rFont val="Arial Narrow"/>
            <family val="2"/>
          </rPr>
          <t>inverter max. output voltage Vc</t>
        </r>
        <r>
          <rPr>
            <i/>
            <sz val="14"/>
            <color indexed="81"/>
            <rFont val="Arial Narrow"/>
            <family val="2"/>
          </rPr>
          <t xml:space="preserve">.
This </t>
        </r>
        <r>
          <rPr>
            <b/>
            <i/>
            <sz val="14"/>
            <color indexed="81"/>
            <rFont val="Arial Narrow"/>
            <family val="2"/>
          </rPr>
          <t>Vb</t>
        </r>
        <r>
          <rPr>
            <i/>
            <sz val="14"/>
            <color indexed="81"/>
            <rFont val="Arial Narrow"/>
            <family val="2"/>
          </rPr>
          <t xml:space="preserve"> value fix the frequency, speed and power in the S1 and S6 service tables below.</t>
        </r>
      </text>
    </comment>
    <comment ref="F21" authorId="0" shapeId="0" xr:uid="{00000000-0006-0000-0300-000002000000}">
      <text>
        <r>
          <rPr>
            <sz val="14"/>
            <color indexed="81"/>
            <rFont val="Arial Narrow"/>
            <family val="2"/>
          </rPr>
          <t>La</t>
        </r>
        <r>
          <rPr>
            <b/>
            <sz val="14"/>
            <color indexed="81"/>
            <rFont val="Arial Narrow"/>
            <family val="2"/>
          </rPr>
          <t xml:space="preserve"> Tensión de Base Vb</t>
        </r>
        <r>
          <rPr>
            <sz val="14"/>
            <color indexed="81"/>
            <rFont val="Arial Narrow"/>
            <family val="2"/>
          </rPr>
          <t xml:space="preserve"> indica el voltaje a partir del cual el motor entra en desexcitación. Ha de ser menor o igual que la </t>
        </r>
        <r>
          <rPr>
            <b/>
            <sz val="14"/>
            <color indexed="81"/>
            <rFont val="Arial Narrow"/>
            <family val="2"/>
          </rPr>
          <t>tensión máxima a la salida del convertidor Vc</t>
        </r>
        <r>
          <rPr>
            <sz val="14"/>
            <color indexed="81"/>
            <rFont val="Arial Narrow"/>
            <family val="2"/>
          </rPr>
          <t xml:space="preserve">. 
Con el valor de </t>
        </r>
        <r>
          <rPr>
            <b/>
            <sz val="14"/>
            <color indexed="81"/>
            <rFont val="Arial Narrow"/>
            <family val="2"/>
          </rPr>
          <t>Vb</t>
        </r>
        <r>
          <rPr>
            <sz val="14"/>
            <color indexed="81"/>
            <rFont val="Arial Narrow"/>
            <family val="2"/>
          </rPr>
          <t xml:space="preserve"> se fijan la frecuencia, velocidad y potencia del motor en las tablas de servicio S1 y S6.
</t>
        </r>
        <r>
          <rPr>
            <b/>
            <i/>
            <sz val="14"/>
            <color indexed="81"/>
            <rFont val="Arial Narrow"/>
            <family val="2"/>
          </rPr>
          <t>Base Voltage Vb</t>
        </r>
        <r>
          <rPr>
            <i/>
            <sz val="14"/>
            <color indexed="81"/>
            <rFont val="Arial Narrow"/>
            <family val="2"/>
          </rPr>
          <t xml:space="preserve"> indicates the value from which the motor enters in field weakening. It must be less or equal than the </t>
        </r>
        <r>
          <rPr>
            <b/>
            <i/>
            <sz val="14"/>
            <color indexed="81"/>
            <rFont val="Arial Narrow"/>
            <family val="2"/>
          </rPr>
          <t>inverter max. output voltage Vc</t>
        </r>
        <r>
          <rPr>
            <i/>
            <sz val="14"/>
            <color indexed="81"/>
            <rFont val="Arial Narrow"/>
            <family val="2"/>
          </rPr>
          <t xml:space="preserve">.
This </t>
        </r>
        <r>
          <rPr>
            <b/>
            <i/>
            <sz val="14"/>
            <color indexed="81"/>
            <rFont val="Arial Narrow"/>
            <family val="2"/>
          </rPr>
          <t>Vb</t>
        </r>
        <r>
          <rPr>
            <i/>
            <sz val="14"/>
            <color indexed="81"/>
            <rFont val="Arial Narrow"/>
            <family val="2"/>
          </rPr>
          <t xml:space="preserve"> value fix the frequency, speed and power in the S1 and S6 service tables below.</t>
        </r>
      </text>
    </comment>
    <comment ref="L21" authorId="0" shapeId="0" xr:uid="{00000000-0006-0000-0300-000003000000}">
      <text>
        <r>
          <rPr>
            <sz val="14"/>
            <color indexed="81"/>
            <rFont val="Arial Narrow"/>
            <family val="2"/>
          </rPr>
          <t xml:space="preserve">La </t>
        </r>
        <r>
          <rPr>
            <b/>
            <sz val="14"/>
            <color indexed="81"/>
            <rFont val="Arial Narrow"/>
            <family val="2"/>
          </rPr>
          <t>Tensión máxima de salida del convertidor Vc</t>
        </r>
        <r>
          <rPr>
            <sz val="14"/>
            <color indexed="81"/>
            <rFont val="Arial Narrow"/>
            <family val="2"/>
          </rPr>
          <t xml:space="preserve"> indica el voltaje máximo que se puede obtener a la salida del convertidor a partir de la tensión de red. Como máximo puede ser igual a la tensión de la red. El valor de </t>
        </r>
        <r>
          <rPr>
            <b/>
            <sz val="14"/>
            <color indexed="81"/>
            <rFont val="Arial Narrow"/>
            <family val="2"/>
          </rPr>
          <t>Vc</t>
        </r>
        <r>
          <rPr>
            <sz val="14"/>
            <color indexed="81"/>
            <rFont val="Arial Narrow"/>
            <family val="2"/>
          </rPr>
          <t xml:space="preserve"> fija los limites de velocidad del motor para un par o potencia determinado. 
</t>
        </r>
        <r>
          <rPr>
            <b/>
            <i/>
            <sz val="14"/>
            <color indexed="81"/>
            <rFont val="Arial Narrow"/>
            <family val="2"/>
          </rPr>
          <t>Inverter Max. Output Voltage Vc</t>
        </r>
        <r>
          <rPr>
            <i/>
            <sz val="14"/>
            <color indexed="81"/>
            <rFont val="Arial Narrow"/>
            <family val="2"/>
          </rPr>
          <t xml:space="preserve"> indicates the maximum expected voltage at the inverter output from a given network voltage. At maximum it would be equal to the network voltage. </t>
        </r>
        <r>
          <rPr>
            <b/>
            <i/>
            <sz val="14"/>
            <color indexed="81"/>
            <rFont val="Arial Narrow"/>
            <family val="2"/>
          </rPr>
          <t>Vc</t>
        </r>
        <r>
          <rPr>
            <i/>
            <sz val="14"/>
            <color indexed="81"/>
            <rFont val="Arial Narrow"/>
            <family val="2"/>
          </rPr>
          <t xml:space="preserve"> value fix the speed limits of the motor for a given power or torque.
</t>
        </r>
      </text>
    </comment>
    <comment ref="M21" authorId="0" shapeId="0" xr:uid="{00000000-0006-0000-0300-000004000000}">
      <text>
        <r>
          <rPr>
            <sz val="14"/>
            <color indexed="81"/>
            <rFont val="Arial Narrow"/>
            <family val="2"/>
          </rPr>
          <t xml:space="preserve">La </t>
        </r>
        <r>
          <rPr>
            <b/>
            <sz val="14"/>
            <color indexed="81"/>
            <rFont val="Arial Narrow"/>
            <family val="2"/>
          </rPr>
          <t>Tensión máxima de salida del convertidor Vc</t>
        </r>
        <r>
          <rPr>
            <sz val="14"/>
            <color indexed="81"/>
            <rFont val="Arial Narrow"/>
            <family val="2"/>
          </rPr>
          <t xml:space="preserve"> indica el voltaje máximo que se puede obtener a la salida del convertidor a partir de la tensión de red. Como máximo puede ser igual a la tensión de la red. El valor de </t>
        </r>
        <r>
          <rPr>
            <b/>
            <sz val="14"/>
            <color indexed="81"/>
            <rFont val="Arial Narrow"/>
            <family val="2"/>
          </rPr>
          <t>Vc</t>
        </r>
        <r>
          <rPr>
            <sz val="14"/>
            <color indexed="81"/>
            <rFont val="Arial Narrow"/>
            <family val="2"/>
          </rPr>
          <t xml:space="preserve"> fija los limites de velocidad del motor para un par o potencia determinado. 
</t>
        </r>
        <r>
          <rPr>
            <b/>
            <i/>
            <sz val="14"/>
            <color indexed="81"/>
            <rFont val="Arial Narrow"/>
            <family val="2"/>
          </rPr>
          <t>Max. Inverter Output Voltage Vc</t>
        </r>
        <r>
          <rPr>
            <i/>
            <sz val="14"/>
            <color indexed="81"/>
            <rFont val="Arial Narrow"/>
            <family val="2"/>
          </rPr>
          <t xml:space="preserve"> indicates the maximum expected voltage at the inverter output from a given network voltage. At maximum it would be equal to the network voltage. </t>
        </r>
        <r>
          <rPr>
            <b/>
            <i/>
            <sz val="14"/>
            <color indexed="81"/>
            <rFont val="Arial Narrow"/>
            <family val="2"/>
          </rPr>
          <t>Vc</t>
        </r>
        <r>
          <rPr>
            <i/>
            <sz val="14"/>
            <color indexed="81"/>
            <rFont val="Arial Narrow"/>
            <family val="2"/>
          </rPr>
          <t>value fix the speed limits of the motor for a given power or torque.</t>
        </r>
      </text>
    </comment>
    <comment ref="E81" authorId="0" shapeId="0" xr:uid="{00000000-0006-0000-0300-000005000000}">
      <text>
        <r>
          <rPr>
            <sz val="14"/>
            <color indexed="81"/>
            <rFont val="Arial Narrow"/>
            <family val="2"/>
          </rPr>
          <t xml:space="preserve">La </t>
        </r>
        <r>
          <rPr>
            <b/>
            <sz val="14"/>
            <color indexed="81"/>
            <rFont val="Arial Narrow"/>
            <family val="2"/>
          </rPr>
          <t>Tensión de Base Vb</t>
        </r>
        <r>
          <rPr>
            <sz val="14"/>
            <color indexed="81"/>
            <rFont val="Arial Narrow"/>
            <family val="2"/>
          </rPr>
          <t xml:space="preserve"> indica el voltaje a partir del cual el motor entra en desexcitación. Ha de ser menor o igual que la </t>
        </r>
        <r>
          <rPr>
            <b/>
            <sz val="14"/>
            <color indexed="81"/>
            <rFont val="Arial Narrow"/>
            <family val="2"/>
          </rPr>
          <t>tensión máxima a la salida del convertidor Vc</t>
        </r>
        <r>
          <rPr>
            <sz val="14"/>
            <color indexed="81"/>
            <rFont val="Arial Narrow"/>
            <family val="2"/>
          </rPr>
          <t xml:space="preserve">. 
Con el valor de </t>
        </r>
        <r>
          <rPr>
            <b/>
            <sz val="14"/>
            <color indexed="81"/>
            <rFont val="Arial Narrow"/>
            <family val="2"/>
          </rPr>
          <t>Vb</t>
        </r>
        <r>
          <rPr>
            <sz val="14"/>
            <color indexed="81"/>
            <rFont val="Arial Narrow"/>
            <family val="2"/>
          </rPr>
          <t xml:space="preserve"> se fijan la frecuencia, velocidad y potencia del motor en las tablas de servicio S1 y S6.
</t>
        </r>
        <r>
          <rPr>
            <b/>
            <i/>
            <sz val="14"/>
            <color indexed="81"/>
            <rFont val="Arial Narrow"/>
            <family val="2"/>
          </rPr>
          <t>Base Voltage Vb</t>
        </r>
        <r>
          <rPr>
            <i/>
            <sz val="14"/>
            <color indexed="81"/>
            <rFont val="Arial Narrow"/>
            <family val="2"/>
          </rPr>
          <t xml:space="preserve"> indicates the value from which the motor enters in field weakening. It must be less or equal than the </t>
        </r>
        <r>
          <rPr>
            <b/>
            <i/>
            <sz val="14"/>
            <color indexed="81"/>
            <rFont val="Arial Narrow"/>
            <family val="2"/>
          </rPr>
          <t>inverter max. output voltage Vc</t>
        </r>
        <r>
          <rPr>
            <i/>
            <sz val="14"/>
            <color indexed="81"/>
            <rFont val="Arial Narrow"/>
            <family val="2"/>
          </rPr>
          <t xml:space="preserve">.
This </t>
        </r>
        <r>
          <rPr>
            <b/>
            <i/>
            <sz val="14"/>
            <color indexed="81"/>
            <rFont val="Arial Narrow"/>
            <family val="2"/>
          </rPr>
          <t>Vb</t>
        </r>
        <r>
          <rPr>
            <i/>
            <sz val="14"/>
            <color indexed="81"/>
            <rFont val="Arial Narrow"/>
            <family val="2"/>
          </rPr>
          <t xml:space="preserve"> value fix the frequency, speed and power in the S1 and S6 service tables below.</t>
        </r>
      </text>
    </comment>
    <comment ref="L81" authorId="0" shapeId="0" xr:uid="{00000000-0006-0000-0300-000006000000}">
      <text>
        <r>
          <rPr>
            <sz val="14"/>
            <color indexed="81"/>
            <rFont val="Arial Narrow"/>
            <family val="2"/>
          </rPr>
          <t xml:space="preserve">La </t>
        </r>
        <r>
          <rPr>
            <b/>
            <sz val="14"/>
            <color indexed="81"/>
            <rFont val="Arial Narrow"/>
            <family val="2"/>
          </rPr>
          <t>Tensión máxima de salida del convertidor Vc</t>
        </r>
        <r>
          <rPr>
            <sz val="14"/>
            <color indexed="81"/>
            <rFont val="Arial Narrow"/>
            <family val="2"/>
          </rPr>
          <t xml:space="preserve"> indica el voltaje máximo que se puede obtener a la salida del convertidor a partir de la tensión de red. Como máximo puede ser igual a la tensión de la red. El valor de </t>
        </r>
        <r>
          <rPr>
            <b/>
            <sz val="14"/>
            <color indexed="81"/>
            <rFont val="Arial Narrow"/>
            <family val="2"/>
          </rPr>
          <t>Vc</t>
        </r>
        <r>
          <rPr>
            <sz val="14"/>
            <color indexed="81"/>
            <rFont val="Arial Narrow"/>
            <family val="2"/>
          </rPr>
          <t xml:space="preserve"> fija los limites de velocidad del motor para un par o potencia determinado. 
</t>
        </r>
        <r>
          <rPr>
            <b/>
            <i/>
            <sz val="14"/>
            <color indexed="81"/>
            <rFont val="Arial Narrow"/>
            <family val="2"/>
          </rPr>
          <t>Inverter Max. Output Voltage Vc</t>
        </r>
        <r>
          <rPr>
            <i/>
            <sz val="14"/>
            <color indexed="81"/>
            <rFont val="Arial Narrow"/>
            <family val="2"/>
          </rPr>
          <t xml:space="preserve"> indicates the maximum expected voltage at the inverter output from a given network voltage. At maximum it would be equal to the network voltage. </t>
        </r>
        <r>
          <rPr>
            <b/>
            <i/>
            <sz val="14"/>
            <color indexed="81"/>
            <rFont val="Arial Narrow"/>
            <family val="2"/>
          </rPr>
          <t>Vc</t>
        </r>
        <r>
          <rPr>
            <i/>
            <sz val="14"/>
            <color indexed="81"/>
            <rFont val="Arial Narrow"/>
            <family val="2"/>
          </rPr>
          <t xml:space="preserve"> value fix the speed limits of the motor for a given power or torque.
</t>
        </r>
      </text>
    </comment>
    <comment ref="A89" authorId="0" shapeId="0" xr:uid="{00000000-0006-0000-0300-000007000000}">
      <text>
        <r>
          <rPr>
            <sz val="12"/>
            <color indexed="81"/>
            <rFont val="Tahoma"/>
            <family val="2"/>
          </rPr>
          <t xml:space="preserve">Introducir en la tabla los datos de la aplicación para que aparezcan en el gráfico.
</t>
        </r>
        <r>
          <rPr>
            <i/>
            <sz val="12"/>
            <color indexed="81"/>
            <rFont val="Tahoma"/>
            <family val="2"/>
          </rPr>
          <t>Insert in the table the load data in order to be shown on the diagram.</t>
        </r>
      </text>
    </comment>
    <comment ref="A91" authorId="0" shapeId="0" xr:uid="{00000000-0006-0000-0300-000008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  <comment ref="B91" authorId="0" shapeId="0" xr:uid="{00000000-0006-0000-0300-000009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  <comment ref="C91" authorId="0" shapeId="0" xr:uid="{00000000-0006-0000-0300-00000A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  <comment ref="A113" authorId="0" shapeId="0" xr:uid="{00000000-0006-0000-0300-00000B000000}">
      <text>
        <r>
          <rPr>
            <sz val="12"/>
            <color indexed="81"/>
            <rFont val="Tahoma"/>
            <family val="2"/>
          </rPr>
          <t xml:space="preserve">Introducir en la tabla los datos de la aplicación para que aparezcan en el gráfico.
</t>
        </r>
        <r>
          <rPr>
            <i/>
            <sz val="12"/>
            <color indexed="81"/>
            <rFont val="Tahoma"/>
            <family val="2"/>
          </rPr>
          <t>Insert in the table the load data in order to be shown on the diagram.</t>
        </r>
      </text>
    </comment>
    <comment ref="A115" authorId="0" shapeId="0" xr:uid="{00000000-0006-0000-0300-00000C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  <comment ref="B115" authorId="0" shapeId="0" xr:uid="{00000000-0006-0000-0300-00000D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  <comment ref="C115" authorId="0" shapeId="0" xr:uid="{00000000-0006-0000-0300-00000E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</commentList>
</comments>
</file>

<file path=xl/sharedStrings.xml><?xml version="1.0" encoding="utf-8"?>
<sst xmlns="http://schemas.openxmlformats.org/spreadsheetml/2006/main" count="694" uniqueCount="271">
  <si>
    <t>Codi</t>
  </si>
  <si>
    <t>Edició</t>
  </si>
  <si>
    <t xml:space="preserve"> - Fitxa Tècnica -</t>
  </si>
  <si>
    <t>Pàgina</t>
  </si>
  <si>
    <t>1 de 2</t>
  </si>
  <si>
    <t>Data</t>
  </si>
  <si>
    <t>Pols</t>
  </si>
  <si>
    <t>Codigo</t>
  </si>
  <si>
    <t>Edición</t>
  </si>
  <si>
    <t xml:space="preserve"> - Hoja de Datos Técnicos Modo Motor -</t>
  </si>
  <si>
    <t>Página</t>
  </si>
  <si>
    <t>1 de 3</t>
  </si>
  <si>
    <t xml:space="preserve"> - Driving mode Technical Datasheet -</t>
  </si>
  <si>
    <t>Fecha</t>
  </si>
  <si>
    <t>Ventilador / Fan</t>
  </si>
  <si>
    <t xml:space="preserve">Rodamientos     </t>
  </si>
  <si>
    <t>Delantero</t>
  </si>
  <si>
    <t>Tipo de Refrigeración</t>
  </si>
  <si>
    <t>IC 06</t>
  </si>
  <si>
    <t>Bearings</t>
  </si>
  <si>
    <t>Drive End</t>
  </si>
  <si>
    <t>Cooling Mode</t>
  </si>
  <si>
    <t>Nº de polos</t>
  </si>
  <si>
    <t>Momento de inercia</t>
  </si>
  <si>
    <t>Peso Motor</t>
  </si>
  <si>
    <r>
      <t xml:space="preserve">Alimentación / </t>
    </r>
    <r>
      <rPr>
        <i/>
        <sz val="12"/>
        <rFont val="Arial Narrow"/>
        <family val="2"/>
      </rPr>
      <t>Supply</t>
    </r>
  </si>
  <si>
    <t>No of poles</t>
  </si>
  <si>
    <t>Rotor Inertia</t>
  </si>
  <si>
    <t>Motor Weight</t>
  </si>
  <si>
    <r>
      <t xml:space="preserve">Potencia / </t>
    </r>
    <r>
      <rPr>
        <i/>
        <sz val="12"/>
        <rFont val="Arial Narrow"/>
        <family val="2"/>
      </rPr>
      <t>Power</t>
    </r>
  </si>
  <si>
    <t>Protección</t>
  </si>
  <si>
    <t>Construcción</t>
  </si>
  <si>
    <t>IM B3</t>
  </si>
  <si>
    <t>standard</t>
  </si>
  <si>
    <t>Equilibrado grado</t>
  </si>
  <si>
    <t>A</t>
  </si>
  <si>
    <r>
      <t xml:space="preserve">Corriente / </t>
    </r>
    <r>
      <rPr>
        <i/>
        <sz val="12"/>
        <rFont val="Arial Narrow"/>
        <family val="2"/>
      </rPr>
      <t>Current</t>
    </r>
  </si>
  <si>
    <t>Protection Degree</t>
  </si>
  <si>
    <t>Mounting</t>
  </si>
  <si>
    <t>IM B35</t>
  </si>
  <si>
    <t>on request</t>
  </si>
  <si>
    <t>Balancing degree</t>
  </si>
  <si>
    <r>
      <t xml:space="preserve">Velocidad / </t>
    </r>
    <r>
      <rPr>
        <i/>
        <sz val="12"/>
        <rFont val="Arial Narrow"/>
        <family val="2"/>
      </rPr>
      <t>Speed</t>
    </r>
  </si>
  <si>
    <t xml:space="preserve">Nivel de ruido </t>
  </si>
  <si>
    <t>Velocidad máxima mecánica</t>
  </si>
  <si>
    <r>
      <t xml:space="preserve">Caudal / </t>
    </r>
    <r>
      <rPr>
        <i/>
        <sz val="12"/>
        <rFont val="Arial Narrow"/>
        <family val="2"/>
      </rPr>
      <t>Air flow</t>
    </r>
  </si>
  <si>
    <t xml:space="preserve">Noise Level </t>
  </si>
  <si>
    <r>
      <t>Max. Mechanical Speed</t>
    </r>
    <r>
      <rPr>
        <sz val="10"/>
        <rFont val="Arial"/>
        <family val="2"/>
      </rPr>
      <t/>
    </r>
  </si>
  <si>
    <r>
      <t xml:space="preserve">Presión / </t>
    </r>
    <r>
      <rPr>
        <i/>
        <sz val="12"/>
        <rFont val="Arial Narrow"/>
        <family val="2"/>
      </rPr>
      <t>Pressure</t>
    </r>
  </si>
  <si>
    <t>Aislamiento</t>
  </si>
  <si>
    <t>Cl. H</t>
  </si>
  <si>
    <t xml:space="preserve">Incremento Temperatura </t>
  </si>
  <si>
    <t>Cl. F</t>
  </si>
  <si>
    <t>Termistores</t>
  </si>
  <si>
    <t>Termómetros</t>
  </si>
  <si>
    <t>3xPt100</t>
  </si>
  <si>
    <r>
      <t xml:space="preserve">Por favor, indicar en los pedidos la alimentación deseada para el ventilador / </t>
    </r>
    <r>
      <rPr>
        <i/>
        <sz val="10.5"/>
        <rFont val="Arial Narrow"/>
        <family val="2"/>
      </rPr>
      <t>Please indicate the required fan supply voltage when placing your order</t>
    </r>
  </si>
  <si>
    <t>Insulation</t>
  </si>
  <si>
    <t>Temperature Rise</t>
  </si>
  <si>
    <t>Thermistors</t>
  </si>
  <si>
    <t>Thermometers</t>
  </si>
  <si>
    <t>Ambiente</t>
  </si>
  <si>
    <t>&lt; 40 ºC  &lt; 1000 m</t>
  </si>
  <si>
    <t>Conmutación Variador</t>
  </si>
  <si>
    <t>Ambient</t>
  </si>
  <si>
    <t>Inverter Switching</t>
  </si>
  <si>
    <t>Normas de referencia</t>
  </si>
  <si>
    <t>EN60034</t>
  </si>
  <si>
    <t>Reference Standards</t>
  </si>
  <si>
    <t xml:space="preserve">Tensión de Base del Motor </t>
  </si>
  <si>
    <t>Vb ± 5%</t>
  </si>
  <si>
    <t>Tensión Máxima de Salida del Convertidor</t>
  </si>
  <si>
    <t>Vc</t>
  </si>
  <si>
    <t>Motor Base Voltage</t>
  </si>
  <si>
    <t>Inverter max. Output Voltage</t>
  </si>
  <si>
    <t>Servicio / Service</t>
  </si>
  <si>
    <t>S1</t>
  </si>
  <si>
    <t>Servicio / Service  S6 -</t>
  </si>
  <si>
    <t>Bobinado          Winding</t>
  </si>
  <si>
    <t>Nm</t>
  </si>
  <si>
    <t>A ± 2%</t>
  </si>
  <si>
    <t>KW</t>
  </si>
  <si>
    <t>rpm</t>
  </si>
  <si>
    <t>Hz</t>
  </si>
  <si>
    <t>Velocidad a Pot.Cte Const. Power Speed. (rpm)</t>
  </si>
  <si>
    <t>A ± 5%</t>
  </si>
  <si>
    <t>Corriente en vacio       No Load Current          (A)</t>
  </si>
  <si>
    <t>eff</t>
  </si>
  <si>
    <t>cos fi</t>
  </si>
  <si>
    <t>rpm llisc.</t>
  </si>
  <si>
    <t>Nm S6</t>
  </si>
  <si>
    <t>A S6</t>
  </si>
  <si>
    <t>Alim</t>
  </si>
  <si>
    <t>Nm lim</t>
  </si>
  <si>
    <t>rpm lim</t>
  </si>
  <si>
    <t>KW lim</t>
  </si>
  <si>
    <t>rpm lim KW s6</t>
  </si>
  <si>
    <t>rpm lim Nm s6</t>
  </si>
  <si>
    <t>rpm lim s1</t>
  </si>
  <si>
    <r>
      <t xml:space="preserve">Otras Velocidades disponibles bajo consulta / </t>
    </r>
    <r>
      <rPr>
        <i/>
        <sz val="11"/>
        <rFont val="Arial Narrow"/>
        <family val="2"/>
      </rPr>
      <t>Other speeds available on request</t>
    </r>
  </si>
  <si>
    <r>
      <t xml:space="preserve">La tensión para el servicio S6 es mayor que Vb / </t>
    </r>
    <r>
      <rPr>
        <i/>
        <sz val="11"/>
        <rFont val="Arial Narrow"/>
        <family val="2"/>
      </rPr>
      <t>Voltage for S6 duty is bigger than Vb</t>
    </r>
  </si>
  <si>
    <t>Elabora:</t>
  </si>
  <si>
    <t>Revisa:</t>
  </si>
  <si>
    <t>Aprueba:</t>
  </si>
  <si>
    <t xml:space="preserve"> - Hoja de Curvas Características Modo Motor -</t>
  </si>
  <si>
    <t xml:space="preserve">Página </t>
  </si>
  <si>
    <t>2 de 3</t>
  </si>
  <si>
    <t xml:space="preserve"> - Driving Mode Power and Torque Diagrams -</t>
  </si>
  <si>
    <t>Carga / Load</t>
  </si>
  <si>
    <t>Nm 1</t>
  </si>
  <si>
    <t>Nm 2</t>
  </si>
  <si>
    <t>rpm S1</t>
  </si>
  <si>
    <t>Nm S1</t>
  </si>
  <si>
    <t>rpm S6</t>
  </si>
  <si>
    <t>kW S6</t>
  </si>
  <si>
    <t>rpm limit</t>
  </si>
  <si>
    <t>KW limit</t>
  </si>
  <si>
    <t>Nm Limit</t>
  </si>
  <si>
    <t>KW 1</t>
  </si>
  <si>
    <t>KW 2</t>
  </si>
  <si>
    <t xml:space="preserve"> - Placa de Características en Modo Motor-</t>
  </si>
  <si>
    <t>3 de 3</t>
  </si>
  <si>
    <t xml:space="preserve"> - Driving Mode Nameplate -</t>
  </si>
  <si>
    <t>Pole</t>
  </si>
  <si>
    <t>Nr:</t>
  </si>
  <si>
    <t>DATE</t>
  </si>
  <si>
    <t>Pn</t>
  </si>
  <si>
    <t>kW</t>
  </si>
  <si>
    <t>Mn</t>
  </si>
  <si>
    <t>Un</t>
  </si>
  <si>
    <t>V</t>
  </si>
  <si>
    <t>Fn</t>
  </si>
  <si>
    <t>In</t>
  </si>
  <si>
    <t>Cos fi</t>
  </si>
  <si>
    <t>Eff.</t>
  </si>
  <si>
    <t>Nn</t>
  </si>
  <si>
    <t>Nmax</t>
  </si>
  <si>
    <t>FAN</t>
  </si>
  <si>
    <t>v</t>
  </si>
  <si>
    <r>
      <rPr>
        <sz val="20"/>
        <color indexed="9"/>
        <rFont val="Calibri"/>
        <family val="2"/>
      </rPr>
      <t xml:space="preserve">A </t>
    </r>
    <r>
      <rPr>
        <sz val="12"/>
        <color indexed="9"/>
        <rFont val="Calibri"/>
        <family val="2"/>
      </rPr>
      <t>50/60Hz</t>
    </r>
  </si>
  <si>
    <t>BRAKE</t>
  </si>
  <si>
    <t>Vdc</t>
  </si>
  <si>
    <t>MADE IN SPAIN</t>
  </si>
  <si>
    <r>
      <t xml:space="preserve">Parámetros modo motor / </t>
    </r>
    <r>
      <rPr>
        <b/>
        <i/>
        <sz val="14"/>
        <rFont val="Arial Narrow"/>
        <family val="2"/>
      </rPr>
      <t>Driving mode parameters</t>
    </r>
  </si>
  <si>
    <t>Fecha - Date</t>
  </si>
  <si>
    <t>Poles</t>
  </si>
  <si>
    <t>Rend / eff.</t>
  </si>
  <si>
    <t>J (Kg m2)</t>
  </si>
  <si>
    <t>Rs (mOhm)</t>
  </si>
  <si>
    <t>Rr (mOhm)</t>
  </si>
  <si>
    <t>Rfe (Ohm)</t>
  </si>
  <si>
    <t>Ls (mH)</t>
  </si>
  <si>
    <t>Lr (mH)</t>
  </si>
  <si>
    <t>Lm (mH)</t>
  </si>
  <si>
    <t>Ts (s)</t>
  </si>
  <si>
    <t>Tr (s)</t>
  </si>
  <si>
    <t>Kt</t>
  </si>
  <si>
    <t>Im (A/fase)</t>
  </si>
  <si>
    <t>s rpm</t>
  </si>
  <si>
    <t>MODO GENERADOR a fnom</t>
  </si>
  <si>
    <t>E</t>
  </si>
  <si>
    <t>urq</t>
  </si>
  <si>
    <t>urd</t>
  </si>
  <si>
    <t>exd</t>
  </si>
  <si>
    <t>exq</t>
  </si>
  <si>
    <t>Vq</t>
  </si>
  <si>
    <t>Vd</t>
  </si>
  <si>
    <t>Correcció a</t>
  </si>
  <si>
    <t>Hz gen</t>
  </si>
  <si>
    <t>Hz gen adoptat</t>
  </si>
  <si>
    <t>rpm gen</t>
  </si>
  <si>
    <t>Nm gen</t>
  </si>
  <si>
    <t>KW abs</t>
  </si>
  <si>
    <t>KW perd.</t>
  </si>
  <si>
    <t>KW out</t>
  </si>
  <si>
    <t>eff gen.</t>
  </si>
  <si>
    <t>Cos fi gen</t>
  </si>
  <si>
    <t xml:space="preserve"> - Hoja de Datos Técnicos Modo Generador -</t>
  </si>
  <si>
    <t xml:space="preserve"> - Absorbing Mode Technical Datasheet -</t>
  </si>
  <si>
    <t xml:space="preserve"> - Hoja de Curvas Características Modo Generador-</t>
  </si>
  <si>
    <t xml:space="preserve"> - Absorbing Mode Power and Torque Diagrams -</t>
  </si>
  <si>
    <t>abs.</t>
  </si>
  <si>
    <r>
      <t>Parámetros modo generador /</t>
    </r>
    <r>
      <rPr>
        <b/>
        <i/>
        <sz val="14"/>
        <rFont val="Arial Narrow"/>
        <family val="2"/>
      </rPr>
      <t xml:space="preserve"> Absorbing mode parameters</t>
    </r>
  </si>
  <si>
    <t>ESQUEMA EQUIVALENTE POR FASE EN ESTRELLA / PHASE STAR EQUIVALENT SCHEMA</t>
  </si>
  <si>
    <t>L/min</t>
  </si>
  <si>
    <t>Corba parell-velocitat a Nnom</t>
  </si>
  <si>
    <t>diagrama vectorial</t>
  </si>
  <si>
    <t>V/f</t>
  </si>
  <si>
    <t>f</t>
  </si>
  <si>
    <t>s pu</t>
  </si>
  <si>
    <t>Kweix</t>
  </si>
  <si>
    <t>Meix</t>
  </si>
  <si>
    <t>Im</t>
  </si>
  <si>
    <t>Ir</t>
  </si>
  <si>
    <t>is</t>
  </si>
  <si>
    <t>Rs Im</t>
  </si>
  <si>
    <t>Rs Ir</t>
  </si>
  <si>
    <t>Rs Is</t>
  </si>
  <si>
    <t>w Ls Im</t>
  </si>
  <si>
    <t>w Ls Ir</t>
  </si>
  <si>
    <t>w Ls Is</t>
  </si>
  <si>
    <t>Vs (m)</t>
  </si>
  <si>
    <t xml:space="preserve">Vs (r) </t>
  </si>
  <si>
    <t>Vs</t>
  </si>
  <si>
    <t>Vs (f-f)</t>
  </si>
  <si>
    <t>eix m</t>
  </si>
  <si>
    <t>eix r</t>
  </si>
  <si>
    <t>Nominal</t>
  </si>
  <si>
    <t>Rs im</t>
  </si>
  <si>
    <t>wLs Ir</t>
  </si>
  <si>
    <t>wLs Im</t>
  </si>
  <si>
    <t>concentrada a l'estator</t>
  </si>
  <si>
    <t>maxim</t>
  </si>
  <si>
    <t>Limit 480V</t>
  </si>
  <si>
    <t>Ir (A)</t>
  </si>
  <si>
    <t>s Hz</t>
  </si>
  <si>
    <t>limit PC</t>
  </si>
  <si>
    <t>Corba parell-velocitat a N1</t>
  </si>
  <si>
    <t>corba a pnom</t>
  </si>
  <si>
    <t>,</t>
  </si>
  <si>
    <t xml:space="preserve"> - Placa de Características en Modo Generador-</t>
  </si>
  <si>
    <t xml:space="preserve"> - Absorbing Mode Nameplate -</t>
  </si>
  <si>
    <t>Trasero</t>
  </si>
  <si>
    <t>Non Drive End</t>
  </si>
  <si>
    <t xml:space="preserve">Nnom x </t>
  </si>
  <si>
    <t>Speed range</t>
  </si>
  <si>
    <t>Bobinado           Winding</t>
  </si>
  <si>
    <t>coef.</t>
  </si>
  <si>
    <t>KW eix</t>
  </si>
  <si>
    <t>Coef</t>
  </si>
  <si>
    <t>coef</t>
  </si>
  <si>
    <t>MAC QT 160 P</t>
  </si>
  <si>
    <t>A41</t>
  </si>
  <si>
    <t>B41</t>
  </si>
  <si>
    <t>C41</t>
  </si>
  <si>
    <t>D41</t>
  </si>
  <si>
    <t>E41</t>
  </si>
  <si>
    <t>F41</t>
  </si>
  <si>
    <t>G41</t>
  </si>
  <si>
    <t>H41</t>
  </si>
  <si>
    <t>I41</t>
  </si>
  <si>
    <t>F42</t>
  </si>
  <si>
    <t>G42</t>
  </si>
  <si>
    <t>H42</t>
  </si>
  <si>
    <t>DT-QT 160 P</t>
  </si>
  <si>
    <t>06</t>
  </si>
  <si>
    <t>6012 ZZ C3</t>
  </si>
  <si>
    <t>6010 ZZ C3</t>
  </si>
  <si>
    <t>B</t>
  </si>
  <si>
    <t>IP 23</t>
  </si>
  <si>
    <t>&lt; 80 dB</t>
  </si>
  <si>
    <t>Alojamientos de los rodamientos eléctricamente aislados</t>
  </si>
  <si>
    <t>Anillo SGR de puesta a tierra del eje en NDE</t>
  </si>
  <si>
    <t>Electrically insulated bearing housings</t>
  </si>
  <si>
    <t>SGR shaft grounding rings on NDE</t>
  </si>
  <si>
    <t xml:space="preserve">   400V 50Hz</t>
  </si>
  <si>
    <t xml:space="preserve">   480V 60Hz</t>
  </si>
  <si>
    <t>1,50 kW</t>
  </si>
  <si>
    <t>1,8 kW</t>
  </si>
  <si>
    <t>3.1A</t>
  </si>
  <si>
    <t>3.0 A</t>
  </si>
  <si>
    <t>2850 rpm</t>
  </si>
  <si>
    <t>3420 rpm</t>
  </si>
  <si>
    <t xml:space="preserve">2170 m3/h </t>
  </si>
  <si>
    <t>1625 Pa</t>
  </si>
  <si>
    <r>
      <t>kW</t>
    </r>
    <r>
      <rPr>
        <i/>
        <sz val="12"/>
        <color theme="0"/>
        <rFont val="Arial Narrow"/>
        <family val="2"/>
      </rPr>
      <t xml:space="preserve"> </t>
    </r>
    <r>
      <rPr>
        <sz val="12"/>
        <color theme="0"/>
        <rFont val="Arial Narrow"/>
        <family val="2"/>
      </rPr>
      <t>S1</t>
    </r>
  </si>
  <si>
    <t>PTC155º C</t>
  </si>
  <si>
    <t>4 kHz ; IVIC  C/B acc. EN60034-25</t>
  </si>
  <si>
    <t>Sondas rodamientos</t>
  </si>
  <si>
    <t>2 x Pt100</t>
  </si>
  <si>
    <t>Bearing Probes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</si>
</sst>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00"/>
    <numFmt numFmtId="165" formatCode="0.0"/>
    <numFmt numFmtId="166" formatCode="0.00000"/>
    <numFmt numFmtId="167" formatCode="#####\ &quot;rpm&quot;"/>
    <numFmt numFmtId="168" formatCode="0\ \V"/>
    <numFmt numFmtId="169" formatCode="0.00_ ;[Red]\-0.00\ "/>
    <numFmt numFmtId="170" formatCode="0.0%"/>
    <numFmt numFmtId="171" formatCode="dd\-mm\-yy"/>
    <numFmt numFmtId="172" formatCode="&quot;J=&quot;\ 0.000\ &quot;Kg m2&quot;"/>
    <numFmt numFmtId="173" formatCode="0\ &quot;Kg&quot;"/>
  </numFmts>
  <fonts count="74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 Narrow"/>
      <family val="2"/>
    </font>
    <font>
      <b/>
      <sz val="16"/>
      <name val="Arial Narrow"/>
      <family val="2"/>
    </font>
    <font>
      <sz val="12"/>
      <name val="Arial Narrow"/>
      <family val="2"/>
    </font>
    <font>
      <sz val="22"/>
      <name val="Arial Narrow"/>
      <family val="2"/>
    </font>
    <font>
      <b/>
      <sz val="14"/>
      <name val="Arial Narrow"/>
      <family val="2"/>
    </font>
    <font>
      <b/>
      <sz val="10"/>
      <name val="Arial Narrow"/>
      <family val="2"/>
    </font>
    <font>
      <b/>
      <sz val="12"/>
      <name val="Arial Narrow"/>
      <family val="2"/>
    </font>
    <font>
      <b/>
      <sz val="12"/>
      <name val="Arial"/>
      <family val="2"/>
    </font>
    <font>
      <sz val="12"/>
      <color indexed="8"/>
      <name val="Arial Narrow"/>
      <family val="2"/>
    </font>
    <font>
      <sz val="12"/>
      <color rgb="FFFF0000"/>
      <name val="Arial Narrow"/>
      <family val="2"/>
    </font>
    <font>
      <sz val="12"/>
      <name val="Arial"/>
      <family val="2"/>
    </font>
    <font>
      <sz val="10"/>
      <name val="Arial"/>
      <family val="2"/>
    </font>
    <font>
      <sz val="12"/>
      <color theme="0"/>
      <name val="Arial Narrow"/>
      <family val="2"/>
    </font>
    <font>
      <sz val="10"/>
      <color indexed="9"/>
      <name val="Arial"/>
      <family val="2"/>
    </font>
    <font>
      <sz val="14"/>
      <name val="Arial Narrow"/>
      <family val="2"/>
    </font>
    <font>
      <i/>
      <sz val="14"/>
      <name val="Arial Narrow"/>
      <family val="2"/>
    </font>
    <font>
      <sz val="22"/>
      <name val="Arial"/>
      <family val="2"/>
    </font>
    <font>
      <sz val="8"/>
      <name val="Arial"/>
      <family val="2"/>
    </font>
    <font>
      <sz val="12"/>
      <color indexed="10"/>
      <name val="Arial Narrow"/>
      <family val="2"/>
    </font>
    <font>
      <i/>
      <sz val="12"/>
      <name val="Arial Narrow"/>
      <family val="2"/>
    </font>
    <font>
      <sz val="11"/>
      <name val="Arial Narrow"/>
      <family val="2"/>
    </font>
    <font>
      <b/>
      <i/>
      <sz val="12"/>
      <name val="Arial Narrow"/>
      <family val="2"/>
    </font>
    <font>
      <sz val="10.5"/>
      <name val="Arial Narrow"/>
      <family val="2"/>
    </font>
    <font>
      <i/>
      <sz val="10.5"/>
      <name val="Arial Narrow"/>
      <family val="2"/>
    </font>
    <font>
      <sz val="16"/>
      <name val="Arial Narrow"/>
      <family val="2"/>
    </font>
    <font>
      <b/>
      <i/>
      <sz val="14"/>
      <color indexed="10"/>
      <name val="Arial Narrow"/>
      <family val="2"/>
    </font>
    <font>
      <sz val="14"/>
      <color indexed="10"/>
      <name val="Arial Narrow"/>
      <family val="2"/>
    </font>
    <font>
      <i/>
      <sz val="11"/>
      <name val="Arial Narrow"/>
      <family val="2"/>
    </font>
    <font>
      <b/>
      <sz val="14"/>
      <name val="Arial"/>
      <family val="2"/>
    </font>
    <font>
      <b/>
      <sz val="13"/>
      <color indexed="10"/>
      <name val="Arial Narrow"/>
      <family val="2"/>
    </font>
    <font>
      <sz val="10"/>
      <color theme="0"/>
      <name val="Arial"/>
      <family val="2"/>
    </font>
    <font>
      <sz val="48"/>
      <name val="Arial"/>
      <family val="2"/>
    </font>
    <font>
      <sz val="16"/>
      <name val="Arial"/>
      <family val="2"/>
    </font>
    <font>
      <sz val="28"/>
      <color theme="0"/>
      <name val="Calibri"/>
      <family val="2"/>
      <scheme val="minor"/>
    </font>
    <font>
      <sz val="20"/>
      <name val="Calibri"/>
      <family val="2"/>
      <scheme val="minor"/>
    </font>
    <font>
      <sz val="20"/>
      <color theme="0"/>
      <name val="Calibri"/>
      <family val="2"/>
      <scheme val="minor"/>
    </font>
    <font>
      <sz val="26"/>
      <color theme="0"/>
      <name val="Calibri"/>
      <family val="2"/>
      <scheme val="minor"/>
    </font>
    <font>
      <sz val="24"/>
      <color theme="0"/>
      <name val="Calibri"/>
      <family val="2"/>
      <scheme val="minor"/>
    </font>
    <font>
      <sz val="12"/>
      <color theme="0"/>
      <name val="Arial"/>
      <family val="2"/>
    </font>
    <font>
      <sz val="12"/>
      <color indexed="9"/>
      <name val="Arial"/>
      <family val="2"/>
    </font>
    <font>
      <sz val="22"/>
      <color theme="0"/>
      <name val="Athens Greek"/>
    </font>
    <font>
      <sz val="20"/>
      <color theme="0"/>
      <name val="Calibri"/>
      <family val="2"/>
    </font>
    <font>
      <sz val="10"/>
      <name val="Calibri"/>
      <family val="2"/>
    </font>
    <font>
      <sz val="18"/>
      <color theme="0"/>
      <name val="Calibri"/>
      <family val="2"/>
    </font>
    <font>
      <sz val="20"/>
      <color indexed="9"/>
      <name val="Calibri"/>
      <family val="2"/>
    </font>
    <font>
      <sz val="12"/>
      <color indexed="9"/>
      <name val="Calibri"/>
      <family val="2"/>
    </font>
    <font>
      <sz val="22"/>
      <name val="Calibri"/>
      <family val="2"/>
    </font>
    <font>
      <sz val="22"/>
      <color theme="0"/>
      <name val="Calibri"/>
      <family val="2"/>
      <scheme val="minor"/>
    </font>
    <font>
      <sz val="14"/>
      <color indexed="81"/>
      <name val="Arial Narrow"/>
      <family val="2"/>
    </font>
    <font>
      <b/>
      <sz val="14"/>
      <color indexed="81"/>
      <name val="Arial Narrow"/>
      <family val="2"/>
    </font>
    <font>
      <b/>
      <i/>
      <sz val="14"/>
      <color indexed="81"/>
      <name val="Arial Narrow"/>
      <family val="2"/>
    </font>
    <font>
      <i/>
      <sz val="14"/>
      <color indexed="81"/>
      <name val="Arial Narrow"/>
      <family val="2"/>
    </font>
    <font>
      <sz val="12"/>
      <color indexed="81"/>
      <name val="Tahoma"/>
      <family val="2"/>
    </font>
    <font>
      <i/>
      <sz val="12"/>
      <color indexed="81"/>
      <name val="Tahoma"/>
      <family val="2"/>
    </font>
    <font>
      <b/>
      <i/>
      <sz val="14"/>
      <name val="Arial Narrow"/>
      <family val="2"/>
    </font>
    <font>
      <sz val="10"/>
      <color rgb="FFFF0000"/>
      <name val="Arial"/>
      <family val="2"/>
    </font>
    <font>
      <sz val="10"/>
      <color rgb="FFFF0000"/>
      <name val="Arial Narrow"/>
      <family val="2"/>
    </font>
    <font>
      <sz val="10"/>
      <color theme="0"/>
      <name val="Arial Narrow"/>
      <family val="2"/>
    </font>
    <font>
      <b/>
      <sz val="12"/>
      <color theme="0"/>
      <name val="Arial"/>
      <family val="2"/>
    </font>
    <font>
      <b/>
      <sz val="12"/>
      <color theme="0"/>
      <name val="Arial Narrow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2"/>
      <color theme="0"/>
      <name val="Arial Narrow"/>
      <family val="2"/>
    </font>
    <font>
      <sz val="14"/>
      <color theme="0"/>
      <name val="Arial Narrow"/>
      <family val="2"/>
    </font>
    <font>
      <sz val="12"/>
      <color rgb="FFFF0000"/>
      <name val="Arial"/>
      <family val="2"/>
    </font>
    <font>
      <sz val="12"/>
      <color theme="0" tint="-0.34998626667073579"/>
      <name val="Arial Narrow"/>
      <family val="2"/>
    </font>
    <font>
      <sz val="11.5"/>
      <name val="Arial Narrow"/>
      <family val="2"/>
    </font>
    <font>
      <i/>
      <sz val="11.5"/>
      <name val="Arial Narrow"/>
      <family val="2"/>
    </font>
    <font>
      <b/>
      <sz val="12"/>
      <color rgb="FFFF0000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/>
      <top style="thick">
        <color theme="0"/>
      </top>
      <bottom style="thick">
        <color theme="0"/>
      </bottom>
      <diagonal/>
    </border>
    <border>
      <left/>
      <right style="thin">
        <color indexed="64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5" fillId="0" borderId="0"/>
    <xf numFmtId="0" fontId="2" fillId="0" borderId="0"/>
  </cellStyleXfs>
  <cellXfs count="703">
    <xf numFmtId="0" fontId="0" fillId="0" borderId="0" xfId="0"/>
    <xf numFmtId="164" fontId="4" fillId="2" borderId="1" xfId="0" applyNumberFormat="1" applyFont="1" applyFill="1" applyBorder="1"/>
    <xf numFmtId="164" fontId="4" fillId="2" borderId="1" xfId="0" applyNumberFormat="1" applyFont="1" applyFill="1" applyBorder="1" applyAlignment="1">
      <alignment horizontal="right"/>
    </xf>
    <xf numFmtId="164" fontId="4" fillId="2" borderId="2" xfId="0" applyNumberFormat="1" applyFont="1" applyFill="1" applyBorder="1" applyAlignment="1">
      <alignment horizontal="right"/>
    </xf>
    <xf numFmtId="164" fontId="4" fillId="2" borderId="3" xfId="0" applyNumberFormat="1" applyFont="1" applyFill="1" applyBorder="1" applyAlignment="1">
      <alignment horizontal="right"/>
    </xf>
    <xf numFmtId="164" fontId="0" fillId="2" borderId="0" xfId="0" applyNumberFormat="1" applyFill="1"/>
    <xf numFmtId="164" fontId="4" fillId="2" borderId="4" xfId="0" applyNumberFormat="1" applyFont="1" applyFill="1" applyBorder="1"/>
    <xf numFmtId="164" fontId="5" fillId="2" borderId="4" xfId="0" applyNumberFormat="1" applyFont="1" applyFill="1" applyBorder="1" applyAlignment="1">
      <alignment horizontal="center"/>
    </xf>
    <xf numFmtId="164" fontId="4" fillId="2" borderId="5" xfId="0" applyNumberFormat="1" applyFont="1" applyFill="1" applyBorder="1" applyAlignment="1">
      <alignment horizontal="right"/>
    </xf>
    <xf numFmtId="164" fontId="6" fillId="2" borderId="0" xfId="0" applyNumberFormat="1" applyFont="1" applyFill="1" applyAlignment="1">
      <alignment horizontal="left"/>
    </xf>
    <xf numFmtId="164" fontId="6" fillId="2" borderId="5" xfId="0" applyNumberFormat="1" applyFont="1" applyFill="1" applyBorder="1" applyAlignment="1">
      <alignment horizontal="center"/>
    </xf>
    <xf numFmtId="164" fontId="4" fillId="2" borderId="4" xfId="0" applyNumberFormat="1" applyFont="1" applyFill="1" applyBorder="1" applyAlignment="1">
      <alignment horizontal="right"/>
    </xf>
    <xf numFmtId="49" fontId="6" fillId="2" borderId="5" xfId="0" applyNumberFormat="1" applyFont="1" applyFill="1" applyBorder="1" applyAlignment="1">
      <alignment horizontal="center"/>
    </xf>
    <xf numFmtId="164" fontId="8" fillId="2" borderId="4" xfId="0" applyNumberFormat="1" applyFont="1" applyFill="1" applyBorder="1" applyAlignment="1">
      <alignment horizontal="center"/>
    </xf>
    <xf numFmtId="14" fontId="6" fillId="2" borderId="5" xfId="0" applyNumberFormat="1" applyFont="1" applyFill="1" applyBorder="1" applyAlignment="1">
      <alignment horizontal="center"/>
    </xf>
    <xf numFmtId="164" fontId="4" fillId="2" borderId="6" xfId="0" applyNumberFormat="1" applyFont="1" applyFill="1" applyBorder="1"/>
    <xf numFmtId="164" fontId="4" fillId="2" borderId="6" xfId="0" applyNumberFormat="1" applyFont="1" applyFill="1" applyBorder="1" applyAlignment="1">
      <alignment horizontal="right"/>
    </xf>
    <xf numFmtId="164" fontId="4" fillId="2" borderId="7" xfId="0" applyNumberFormat="1" applyFont="1" applyFill="1" applyBorder="1" applyAlignment="1">
      <alignment horizontal="right"/>
    </xf>
    <xf numFmtId="164" fontId="4" fillId="2" borderId="8" xfId="0" applyNumberFormat="1" applyFont="1" applyFill="1" applyBorder="1" applyAlignment="1">
      <alignment horizontal="right"/>
    </xf>
    <xf numFmtId="164" fontId="4" fillId="2" borderId="9" xfId="0" applyNumberFormat="1" applyFont="1" applyFill="1" applyBorder="1"/>
    <xf numFmtId="164" fontId="9" fillId="3" borderId="9" xfId="0" applyNumberFormat="1" applyFont="1" applyFill="1" applyBorder="1" applyAlignment="1">
      <alignment horizontal="right"/>
    </xf>
    <xf numFmtId="164" fontId="10" fillId="2" borderId="10" xfId="0" applyNumberFormat="1" applyFont="1" applyFill="1" applyBorder="1"/>
    <xf numFmtId="164" fontId="10" fillId="2" borderId="11" xfId="0" applyNumberFormat="1" applyFont="1" applyFill="1" applyBorder="1" applyAlignment="1">
      <alignment horizontal="right"/>
    </xf>
    <xf numFmtId="164" fontId="11" fillId="2" borderId="0" xfId="0" applyNumberFormat="1" applyFont="1" applyFill="1"/>
    <xf numFmtId="164" fontId="10" fillId="2" borderId="12" xfId="0" applyNumberFormat="1" applyFont="1" applyFill="1" applyBorder="1"/>
    <xf numFmtId="164" fontId="10" fillId="2" borderId="13" xfId="0" applyNumberFormat="1" applyFont="1" applyFill="1" applyBorder="1" applyAlignment="1">
      <alignment horizontal="right"/>
    </xf>
    <xf numFmtId="164" fontId="11" fillId="2" borderId="9" xfId="0" applyNumberFormat="1" applyFont="1" applyFill="1" applyBorder="1"/>
    <xf numFmtId="164" fontId="10" fillId="2" borderId="14" xfId="0" applyNumberFormat="1" applyFont="1" applyFill="1" applyBorder="1"/>
    <xf numFmtId="1" fontId="10" fillId="4" borderId="15" xfId="0" applyNumberFormat="1" applyFont="1" applyFill="1" applyBorder="1" applyAlignment="1">
      <alignment horizontal="right"/>
    </xf>
    <xf numFmtId="164" fontId="6" fillId="2" borderId="10" xfId="0" applyNumberFormat="1" applyFont="1" applyFill="1" applyBorder="1"/>
    <xf numFmtId="1" fontId="12" fillId="4" borderId="11" xfId="0" applyNumberFormat="1" applyFont="1" applyFill="1" applyBorder="1" applyAlignment="1">
      <alignment horizontal="right"/>
    </xf>
    <xf numFmtId="164" fontId="14" fillId="2" borderId="16" xfId="0" applyNumberFormat="1" applyFont="1" applyFill="1" applyBorder="1"/>
    <xf numFmtId="164" fontId="6" fillId="2" borderId="14" xfId="0" applyNumberFormat="1" applyFont="1" applyFill="1" applyBorder="1"/>
    <xf numFmtId="1" fontId="12" fillId="4" borderId="15" xfId="0" applyNumberFormat="1" applyFont="1" applyFill="1" applyBorder="1" applyAlignment="1">
      <alignment horizontal="right"/>
    </xf>
    <xf numFmtId="164" fontId="14" fillId="2" borderId="0" xfId="0" applyNumberFormat="1" applyFont="1" applyFill="1"/>
    <xf numFmtId="165" fontId="6" fillId="2" borderId="12" xfId="0" applyNumberFormat="1" applyFont="1" applyFill="1" applyBorder="1"/>
    <xf numFmtId="165" fontId="12" fillId="4" borderId="13" xfId="0" applyNumberFormat="1" applyFont="1" applyFill="1" applyBorder="1" applyAlignment="1">
      <alignment horizontal="right"/>
    </xf>
    <xf numFmtId="165" fontId="14" fillId="2" borderId="9" xfId="0" applyNumberFormat="1" applyFont="1" applyFill="1" applyBorder="1"/>
    <xf numFmtId="165" fontId="6" fillId="2" borderId="14" xfId="0" applyNumberFormat="1" applyFont="1" applyFill="1" applyBorder="1"/>
    <xf numFmtId="165" fontId="12" fillId="4" borderId="15" xfId="0" applyNumberFormat="1" applyFont="1" applyFill="1" applyBorder="1" applyAlignment="1">
      <alignment horizontal="right"/>
    </xf>
    <xf numFmtId="165" fontId="14" fillId="2" borderId="0" xfId="0" applyNumberFormat="1" applyFont="1" applyFill="1"/>
    <xf numFmtId="2" fontId="12" fillId="4" borderId="15" xfId="0" applyNumberFormat="1" applyFont="1" applyFill="1" applyBorder="1" applyAlignment="1">
      <alignment horizontal="right"/>
    </xf>
    <xf numFmtId="2" fontId="13" fillId="4" borderId="15" xfId="0" applyNumberFormat="1" applyFont="1" applyFill="1" applyBorder="1" applyAlignment="1">
      <alignment horizontal="right"/>
    </xf>
    <xf numFmtId="164" fontId="6" fillId="2" borderId="12" xfId="0" applyNumberFormat="1" applyFont="1" applyFill="1" applyBorder="1"/>
    <xf numFmtId="2" fontId="12" fillId="4" borderId="13" xfId="0" applyNumberFormat="1" applyFont="1" applyFill="1" applyBorder="1" applyAlignment="1">
      <alignment horizontal="right"/>
    </xf>
    <xf numFmtId="164" fontId="14" fillId="2" borderId="9" xfId="0" applyNumberFormat="1" applyFont="1" applyFill="1" applyBorder="1"/>
    <xf numFmtId="164" fontId="6" fillId="2" borderId="17" xfId="0" applyNumberFormat="1" applyFont="1" applyFill="1" applyBorder="1"/>
    <xf numFmtId="164" fontId="12" fillId="4" borderId="18" xfId="0" applyNumberFormat="1" applyFont="1" applyFill="1" applyBorder="1" applyAlignment="1">
      <alignment horizontal="right"/>
    </xf>
    <xf numFmtId="164" fontId="14" fillId="2" borderId="19" xfId="0" applyNumberFormat="1" applyFont="1" applyFill="1" applyBorder="1"/>
    <xf numFmtId="164" fontId="12" fillId="4" borderId="15" xfId="0" applyNumberFormat="1" applyFont="1" applyFill="1" applyBorder="1" applyAlignment="1">
      <alignment horizontal="right"/>
    </xf>
    <xf numFmtId="164" fontId="10" fillId="4" borderId="11" xfId="0" applyNumberFormat="1" applyFont="1" applyFill="1" applyBorder="1" applyAlignment="1">
      <alignment horizontal="right"/>
    </xf>
    <xf numFmtId="164" fontId="10" fillId="4" borderId="13" xfId="0" applyNumberFormat="1" applyFont="1" applyFill="1" applyBorder="1" applyAlignment="1">
      <alignment horizontal="right"/>
    </xf>
    <xf numFmtId="164" fontId="6" fillId="2" borderId="11" xfId="0" applyNumberFormat="1" applyFont="1" applyFill="1" applyBorder="1"/>
    <xf numFmtId="2" fontId="6" fillId="4" borderId="20" xfId="0" applyNumberFormat="1" applyFont="1" applyFill="1" applyBorder="1" applyAlignment="1">
      <alignment horizontal="right"/>
    </xf>
    <xf numFmtId="164" fontId="6" fillId="2" borderId="15" xfId="0" applyNumberFormat="1" applyFont="1" applyFill="1" applyBorder="1"/>
    <xf numFmtId="2" fontId="6" fillId="4" borderId="15" xfId="0" applyNumberFormat="1" applyFont="1" applyFill="1" applyBorder="1" applyAlignment="1">
      <alignment horizontal="right"/>
    </xf>
    <xf numFmtId="164" fontId="6" fillId="2" borderId="13" xfId="0" applyNumberFormat="1" applyFont="1" applyFill="1" applyBorder="1"/>
    <xf numFmtId="165" fontId="6" fillId="2" borderId="17" xfId="0" applyNumberFormat="1" applyFont="1" applyFill="1" applyBorder="1"/>
    <xf numFmtId="165" fontId="6" fillId="4" borderId="18" xfId="0" applyNumberFormat="1" applyFont="1" applyFill="1" applyBorder="1" applyAlignment="1">
      <alignment horizontal="right"/>
    </xf>
    <xf numFmtId="165" fontId="14" fillId="2" borderId="19" xfId="0" applyNumberFormat="1" applyFont="1" applyFill="1" applyBorder="1"/>
    <xf numFmtId="164" fontId="15" fillId="2" borderId="18" xfId="1" applyNumberFormat="1" applyFill="1" applyBorder="1"/>
    <xf numFmtId="165" fontId="6" fillId="2" borderId="18" xfId="1" applyNumberFormat="1" applyFont="1" applyFill="1" applyBorder="1" applyAlignment="1">
      <alignment horizontal="right" vertical="center"/>
    </xf>
    <xf numFmtId="165" fontId="13" fillId="2" borderId="18" xfId="1" applyNumberFormat="1" applyFont="1" applyFill="1" applyBorder="1" applyAlignment="1">
      <alignment horizontal="right" vertical="center"/>
    </xf>
    <xf numFmtId="164" fontId="4" fillId="2" borderId="0" xfId="0" applyNumberFormat="1" applyFont="1" applyFill="1"/>
    <xf numFmtId="166" fontId="4" fillId="2" borderId="15" xfId="0" applyNumberFormat="1" applyFont="1" applyFill="1" applyBorder="1" applyAlignment="1">
      <alignment horizontal="right"/>
    </xf>
    <xf numFmtId="164" fontId="4" fillId="2" borderId="15" xfId="0" applyNumberFormat="1" applyFont="1" applyFill="1" applyBorder="1" applyAlignment="1">
      <alignment horizontal="right"/>
    </xf>
    <xf numFmtId="0" fontId="15" fillId="2" borderId="1" xfId="1" applyFill="1" applyBorder="1" applyAlignment="1">
      <alignment horizontal="right"/>
    </xf>
    <xf numFmtId="0" fontId="15" fillId="2" borderId="2" xfId="1" applyFill="1" applyBorder="1" applyAlignment="1">
      <alignment horizontal="right"/>
    </xf>
    <xf numFmtId="0" fontId="15" fillId="2" borderId="3" xfId="1" applyFill="1" applyBorder="1" applyAlignment="1">
      <alignment horizontal="right"/>
    </xf>
    <xf numFmtId="165" fontId="6" fillId="2" borderId="1" xfId="1" applyNumberFormat="1" applyFont="1" applyFill="1" applyBorder="1" applyAlignment="1">
      <alignment horizontal="right"/>
    </xf>
    <xf numFmtId="165" fontId="6" fillId="2" borderId="2" xfId="1" applyNumberFormat="1" applyFont="1" applyFill="1" applyBorder="1" applyAlignment="1">
      <alignment horizontal="right"/>
    </xf>
    <xf numFmtId="0" fontId="6" fillId="2" borderId="2" xfId="1" applyFont="1" applyFill="1" applyBorder="1" applyAlignment="1">
      <alignment horizontal="right"/>
    </xf>
    <xf numFmtId="165" fontId="6" fillId="2" borderId="3" xfId="1" applyNumberFormat="1" applyFont="1" applyFill="1" applyBorder="1" applyAlignment="1">
      <alignment horizontal="right"/>
    </xf>
    <xf numFmtId="0" fontId="6" fillId="2" borderId="2" xfId="1" applyFont="1" applyFill="1" applyBorder="1" applyAlignment="1">
      <alignment horizontal="left"/>
    </xf>
    <xf numFmtId="0" fontId="16" fillId="2" borderId="0" xfId="1" applyFont="1" applyFill="1" applyAlignment="1">
      <alignment horizontal="right"/>
    </xf>
    <xf numFmtId="0" fontId="17" fillId="2" borderId="0" xfId="1" applyFont="1" applyFill="1" applyAlignment="1">
      <alignment horizontal="right"/>
    </xf>
    <xf numFmtId="0" fontId="15" fillId="2" borderId="0" xfId="1" applyFill="1" applyAlignment="1">
      <alignment horizontal="right"/>
    </xf>
    <xf numFmtId="0" fontId="15" fillId="2" borderId="4" xfId="1" applyFill="1" applyBorder="1" applyAlignment="1">
      <alignment horizontal="right"/>
    </xf>
    <xf numFmtId="0" fontId="15" fillId="2" borderId="5" xfId="1" applyFill="1" applyBorder="1" applyAlignment="1">
      <alignment horizontal="right"/>
    </xf>
    <xf numFmtId="0" fontId="6" fillId="2" borderId="0" xfId="1" applyFont="1" applyFill="1" applyAlignment="1">
      <alignment horizontal="left"/>
    </xf>
    <xf numFmtId="0" fontId="15" fillId="2" borderId="6" xfId="1" applyFill="1" applyBorder="1" applyAlignment="1">
      <alignment horizontal="right"/>
    </xf>
    <xf numFmtId="0" fontId="15" fillId="2" borderId="7" xfId="1" applyFill="1" applyBorder="1" applyAlignment="1">
      <alignment horizontal="right"/>
    </xf>
    <xf numFmtId="0" fontId="15" fillId="2" borderId="8" xfId="1" applyFill="1" applyBorder="1" applyAlignment="1">
      <alignment horizontal="right"/>
    </xf>
    <xf numFmtId="165" fontId="6" fillId="2" borderId="6" xfId="1" applyNumberFormat="1" applyFont="1" applyFill="1" applyBorder="1" applyAlignment="1">
      <alignment horizontal="right"/>
    </xf>
    <xf numFmtId="0" fontId="6" fillId="2" borderId="7" xfId="1" applyFont="1" applyFill="1" applyBorder="1" applyAlignment="1">
      <alignment horizontal="right"/>
    </xf>
    <xf numFmtId="165" fontId="6" fillId="2" borderId="7" xfId="1" applyNumberFormat="1" applyFont="1" applyFill="1" applyBorder="1" applyAlignment="1">
      <alignment horizontal="right"/>
    </xf>
    <xf numFmtId="1" fontId="6" fillId="2" borderId="7" xfId="1" applyNumberFormat="1" applyFont="1" applyFill="1" applyBorder="1" applyAlignment="1">
      <alignment horizontal="right"/>
    </xf>
    <xf numFmtId="0" fontId="6" fillId="2" borderId="8" xfId="1" applyFont="1" applyFill="1" applyBorder="1" applyAlignment="1">
      <alignment horizontal="right"/>
    </xf>
    <xf numFmtId="0" fontId="20" fillId="2" borderId="0" xfId="1" applyFont="1" applyFill="1" applyAlignment="1">
      <alignment horizontal="left"/>
    </xf>
    <xf numFmtId="165" fontId="15" fillId="2" borderId="0" xfId="1" applyNumberFormat="1" applyFill="1" applyAlignment="1">
      <alignment horizontal="right"/>
    </xf>
    <xf numFmtId="0" fontId="21" fillId="2" borderId="0" xfId="1" applyFont="1" applyFill="1" applyAlignment="1">
      <alignment horizontal="left"/>
    </xf>
    <xf numFmtId="0" fontId="15" fillId="2" borderId="0" xfId="1" applyFill="1" applyAlignment="1">
      <alignment horizontal="right" vertical="center"/>
    </xf>
    <xf numFmtId="165" fontId="15" fillId="2" borderId="0" xfId="1" applyNumberFormat="1" applyFill="1" applyAlignment="1">
      <alignment horizontal="left" vertical="center"/>
    </xf>
    <xf numFmtId="0" fontId="8" fillId="2" borderId="21" xfId="1" applyFont="1" applyFill="1" applyBorder="1" applyAlignment="1">
      <alignment vertical="center"/>
    </xf>
    <xf numFmtId="0" fontId="6" fillId="2" borderId="22" xfId="1" applyFont="1" applyFill="1" applyBorder="1" applyAlignment="1">
      <alignment horizontal="right" vertical="center"/>
    </xf>
    <xf numFmtId="0" fontId="6" fillId="2" borderId="23" xfId="1" applyFont="1" applyFill="1" applyBorder="1" applyAlignment="1">
      <alignment horizontal="right" vertical="center"/>
    </xf>
    <xf numFmtId="0" fontId="6" fillId="2" borderId="2" xfId="1" applyFont="1" applyFill="1" applyBorder="1" applyAlignment="1">
      <alignment horizontal="left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0" fontId="16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right" vertical="center"/>
    </xf>
    <xf numFmtId="0" fontId="6" fillId="2" borderId="1" xfId="1" applyFont="1" applyFill="1" applyBorder="1" applyAlignment="1">
      <alignment vertical="center"/>
    </xf>
    <xf numFmtId="0" fontId="23" fillId="2" borderId="7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center" vertical="center"/>
    </xf>
    <xf numFmtId="0" fontId="23" fillId="2" borderId="0" xfId="1" applyFont="1" applyFill="1" applyAlignment="1">
      <alignment vertical="center"/>
    </xf>
    <xf numFmtId="0" fontId="6" fillId="2" borderId="0" xfId="1" applyFont="1" applyFill="1" applyAlignment="1">
      <alignment horizontal="left" vertical="center"/>
    </xf>
    <xf numFmtId="0" fontId="6" fillId="2" borderId="1" xfId="1" applyFont="1" applyFill="1" applyBorder="1" applyAlignment="1">
      <alignment horizontal="left" vertical="center"/>
    </xf>
    <xf numFmtId="165" fontId="6" fillId="2" borderId="4" xfId="1" applyNumberFormat="1" applyFont="1" applyFill="1" applyBorder="1" applyAlignment="1">
      <alignment horizontal="left" vertical="center"/>
    </xf>
    <xf numFmtId="0" fontId="23" fillId="2" borderId="0" xfId="1" applyFont="1" applyFill="1" applyAlignment="1">
      <alignment horizontal="left" vertical="center"/>
    </xf>
    <xf numFmtId="0" fontId="6" fillId="2" borderId="7" xfId="1" applyFont="1" applyFill="1" applyBorder="1" applyAlignment="1">
      <alignment horizontal="right" vertical="center"/>
    </xf>
    <xf numFmtId="165" fontId="23" fillId="2" borderId="4" xfId="1" applyNumberFormat="1" applyFont="1" applyFill="1" applyBorder="1" applyAlignment="1">
      <alignment horizontal="left" vertical="center"/>
    </xf>
    <xf numFmtId="165" fontId="6" fillId="2" borderId="0" xfId="1" applyNumberFormat="1" applyFont="1" applyFill="1" applyAlignment="1">
      <alignment horizontal="center" vertical="center"/>
    </xf>
    <xf numFmtId="0" fontId="6" fillId="2" borderId="4" xfId="1" applyFont="1" applyFill="1" applyBorder="1" applyAlignment="1">
      <alignment vertical="center"/>
    </xf>
    <xf numFmtId="0" fontId="6" fillId="2" borderId="0" xfId="1" applyFont="1" applyFill="1" applyAlignment="1">
      <alignment horizontal="center" vertical="center"/>
    </xf>
    <xf numFmtId="1" fontId="6" fillId="2" borderId="2" xfId="1" applyNumberFormat="1" applyFont="1" applyFill="1" applyBorder="1" applyAlignment="1">
      <alignment horizontal="left" vertical="center"/>
    </xf>
    <xf numFmtId="1" fontId="6" fillId="2" borderId="2" xfId="1" applyNumberFormat="1" applyFont="1" applyFill="1" applyBorder="1" applyAlignment="1">
      <alignment horizontal="center" vertical="center"/>
    </xf>
    <xf numFmtId="1" fontId="6" fillId="2" borderId="1" xfId="1" applyNumberFormat="1" applyFont="1" applyFill="1" applyBorder="1" applyAlignment="1">
      <alignment horizontal="left" vertical="center"/>
    </xf>
    <xf numFmtId="1" fontId="10" fillId="2" borderId="2" xfId="1" applyNumberFormat="1" applyFont="1" applyFill="1" applyBorder="1" applyAlignment="1">
      <alignment horizontal="center" vertical="center"/>
    </xf>
    <xf numFmtId="1" fontId="25" fillId="2" borderId="3" xfId="1" applyNumberFormat="1" applyFont="1" applyFill="1" applyBorder="1" applyAlignment="1">
      <alignment horizontal="left" vertical="center"/>
    </xf>
    <xf numFmtId="1" fontId="23" fillId="2" borderId="7" xfId="1" applyNumberFormat="1" applyFont="1" applyFill="1" applyBorder="1" applyAlignment="1">
      <alignment horizontal="left" vertical="center"/>
    </xf>
    <xf numFmtId="1" fontId="6" fillId="2" borderId="7" xfId="1" applyNumberFormat="1" applyFont="1" applyFill="1" applyBorder="1" applyAlignment="1">
      <alignment horizontal="center" vertical="center"/>
    </xf>
    <xf numFmtId="1" fontId="23" fillId="2" borderId="6" xfId="1" applyNumberFormat="1" applyFont="1" applyFill="1" applyBorder="1" applyAlignment="1">
      <alignment horizontal="left" vertical="center"/>
    </xf>
    <xf numFmtId="1" fontId="23" fillId="2" borderId="8" xfId="1" applyNumberFormat="1" applyFont="1" applyFill="1" applyBorder="1" applyAlignment="1">
      <alignment horizontal="left" vertical="center"/>
    </xf>
    <xf numFmtId="0" fontId="23" fillId="2" borderId="4" xfId="1" applyFont="1" applyFill="1" applyBorder="1" applyAlignment="1">
      <alignment horizontal="left" vertical="center"/>
    </xf>
    <xf numFmtId="165" fontId="6" fillId="2" borderId="0" xfId="1" applyNumberFormat="1" applyFont="1" applyFill="1" applyAlignment="1">
      <alignment horizontal="left" vertical="center"/>
    </xf>
    <xf numFmtId="165" fontId="6" fillId="2" borderId="1" xfId="1" applyNumberFormat="1" applyFont="1" applyFill="1" applyBorder="1" applyAlignment="1">
      <alignment horizontal="left" vertical="center"/>
    </xf>
    <xf numFmtId="165" fontId="6" fillId="2" borderId="2" xfId="1" applyNumberFormat="1" applyFont="1" applyFill="1" applyBorder="1" applyAlignment="1">
      <alignment horizontal="center" vertical="center"/>
    </xf>
    <xf numFmtId="165" fontId="23" fillId="2" borderId="7" xfId="1" applyNumberFormat="1" applyFont="1" applyFill="1" applyBorder="1" applyAlignment="1">
      <alignment horizontal="left" vertical="center"/>
    </xf>
    <xf numFmtId="165" fontId="6" fillId="2" borderId="7" xfId="1" applyNumberFormat="1" applyFont="1" applyFill="1" applyBorder="1" applyAlignment="1">
      <alignment horizontal="center" vertical="center"/>
    </xf>
    <xf numFmtId="165" fontId="23" fillId="2" borderId="6" xfId="1" applyNumberFormat="1" applyFont="1" applyFill="1" applyBorder="1" applyAlignment="1">
      <alignment horizontal="left" vertical="center"/>
    </xf>
    <xf numFmtId="0" fontId="6" fillId="2" borderId="6" xfId="1" applyFont="1" applyFill="1" applyBorder="1" applyAlignment="1">
      <alignment vertical="center"/>
    </xf>
    <xf numFmtId="0" fontId="23" fillId="2" borderId="6" xfId="1" applyFont="1" applyFill="1" applyBorder="1" applyAlignment="1">
      <alignment horizontal="left" vertical="center"/>
    </xf>
    <xf numFmtId="0" fontId="6" fillId="2" borderId="0" xfId="1" applyFont="1" applyFill="1" applyAlignment="1">
      <alignment horizontal="right"/>
    </xf>
    <xf numFmtId="168" fontId="29" fillId="2" borderId="0" xfId="1" applyNumberFormat="1" applyFont="1" applyFill="1" applyAlignment="1">
      <alignment horizontal="right" vertical="center"/>
    </xf>
    <xf numFmtId="168" fontId="29" fillId="2" borderId="0" xfId="1" applyNumberFormat="1" applyFont="1" applyFill="1" applyAlignment="1">
      <alignment horizontal="left" vertical="center"/>
    </xf>
    <xf numFmtId="0" fontId="23" fillId="2" borderId="0" xfId="1" applyFont="1" applyFill="1" applyAlignment="1">
      <alignment horizontal="right"/>
    </xf>
    <xf numFmtId="168" fontId="23" fillId="2" borderId="0" xfId="1" applyNumberFormat="1" applyFont="1" applyFill="1" applyAlignment="1">
      <alignment horizontal="center" vertical="center"/>
    </xf>
    <xf numFmtId="0" fontId="23" fillId="2" borderId="0" xfId="1" applyFont="1" applyFill="1" applyAlignment="1">
      <alignment horizontal="center" vertical="center"/>
    </xf>
    <xf numFmtId="0" fontId="18" fillId="2" borderId="2" xfId="1" applyFont="1" applyFill="1" applyBorder="1" applyAlignment="1">
      <alignment vertical="center"/>
    </xf>
    <xf numFmtId="0" fontId="30" fillId="5" borderId="3" xfId="1" applyFont="1" applyFill="1" applyBorder="1" applyAlignment="1">
      <alignment horizontal="right"/>
    </xf>
    <xf numFmtId="168" fontId="22" fillId="2" borderId="0" xfId="1" applyNumberFormat="1" applyFont="1" applyFill="1" applyAlignment="1">
      <alignment horizontal="right" vertical="center"/>
    </xf>
    <xf numFmtId="0" fontId="18" fillId="2" borderId="7" xfId="1" applyFont="1" applyFill="1" applyBorder="1" applyAlignment="1">
      <alignment vertical="center"/>
    </xf>
    <xf numFmtId="0" fontId="30" fillId="5" borderId="8" xfId="1" applyFont="1" applyFill="1" applyBorder="1" applyAlignment="1">
      <alignment horizontal="right"/>
    </xf>
    <xf numFmtId="0" fontId="6" fillId="2" borderId="21" xfId="1" applyFont="1" applyFill="1" applyBorder="1" applyAlignment="1">
      <alignment horizontal="center" vertical="center" textRotation="90" wrapText="1"/>
    </xf>
    <xf numFmtId="165" fontId="6" fillId="2" borderId="25" xfId="1" applyNumberFormat="1" applyFont="1" applyFill="1" applyBorder="1" applyAlignment="1">
      <alignment horizontal="center" vertical="center" textRotation="90" wrapText="1"/>
    </xf>
    <xf numFmtId="165" fontId="6" fillId="2" borderId="26" xfId="1" applyNumberFormat="1" applyFont="1" applyFill="1" applyBorder="1" applyAlignment="1">
      <alignment horizontal="center" vertical="center" textRotation="90" wrapText="1"/>
    </xf>
    <xf numFmtId="0" fontId="6" fillId="2" borderId="27" xfId="1" applyFont="1" applyFill="1" applyBorder="1" applyAlignment="1">
      <alignment horizontal="center" vertical="center" textRotation="90" wrapText="1"/>
    </xf>
    <xf numFmtId="165" fontId="6" fillId="2" borderId="27" xfId="1" applyNumberFormat="1" applyFont="1" applyFill="1" applyBorder="1" applyAlignment="1">
      <alignment horizontal="center" vertical="center" textRotation="90" wrapText="1"/>
    </xf>
    <xf numFmtId="165" fontId="6" fillId="2" borderId="28" xfId="1" applyNumberFormat="1" applyFont="1" applyFill="1" applyBorder="1" applyAlignment="1">
      <alignment horizontal="center" vertical="center" textRotation="90" wrapText="1"/>
    </xf>
    <xf numFmtId="0" fontId="6" fillId="2" borderId="0" xfId="1" applyFont="1" applyFill="1" applyAlignment="1">
      <alignment horizontal="center" vertical="center" wrapText="1"/>
    </xf>
    <xf numFmtId="1" fontId="6" fillId="2" borderId="29" xfId="1" applyNumberFormat="1" applyFont="1" applyFill="1" applyBorder="1" applyAlignment="1">
      <alignment horizontal="center" vertical="center"/>
    </xf>
    <xf numFmtId="1" fontId="6" fillId="2" borderId="15" xfId="1" applyNumberFormat="1" applyFont="1" applyFill="1" applyBorder="1" applyAlignment="1">
      <alignment horizontal="center" vertical="center"/>
    </xf>
    <xf numFmtId="165" fontId="6" fillId="2" borderId="15" xfId="1" applyNumberFormat="1" applyFont="1" applyFill="1" applyBorder="1" applyAlignment="1">
      <alignment horizontal="center" vertical="center"/>
    </xf>
    <xf numFmtId="1" fontId="6" fillId="2" borderId="30" xfId="1" applyNumberFormat="1" applyFont="1" applyFill="1" applyBorder="1" applyAlignment="1">
      <alignment horizontal="center" vertical="center"/>
    </xf>
    <xf numFmtId="1" fontId="6" fillId="2" borderId="32" xfId="1" applyNumberFormat="1" applyFont="1" applyFill="1" applyBorder="1" applyAlignment="1">
      <alignment horizontal="center" vertical="center"/>
    </xf>
    <xf numFmtId="165" fontId="6" fillId="2" borderId="32" xfId="1" applyNumberFormat="1" applyFont="1" applyFill="1" applyBorder="1" applyAlignment="1">
      <alignment horizontal="center" vertical="center"/>
    </xf>
    <xf numFmtId="0" fontId="17" fillId="2" borderId="0" xfId="1" applyFont="1" applyFill="1" applyAlignment="1">
      <alignment horizontal="right" vertical="center"/>
    </xf>
    <xf numFmtId="1" fontId="15" fillId="2" borderId="0" xfId="1" applyNumberFormat="1" applyFill="1" applyAlignment="1">
      <alignment horizontal="right"/>
    </xf>
    <xf numFmtId="0" fontId="15" fillId="2" borderId="1" xfId="1" applyFill="1" applyBorder="1" applyAlignment="1">
      <alignment horizontal="left"/>
    </xf>
    <xf numFmtId="165" fontId="15" fillId="2" borderId="3" xfId="1" applyNumberFormat="1" applyFill="1" applyBorder="1" applyAlignment="1">
      <alignment horizontal="right"/>
    </xf>
    <xf numFmtId="165" fontId="15" fillId="2" borderId="1" xfId="1" applyNumberFormat="1" applyFill="1" applyBorder="1" applyAlignment="1">
      <alignment horizontal="left"/>
    </xf>
    <xf numFmtId="165" fontId="15" fillId="2" borderId="2" xfId="1" applyNumberFormat="1" applyFill="1" applyBorder="1" applyAlignment="1">
      <alignment horizontal="right"/>
    </xf>
    <xf numFmtId="1" fontId="15" fillId="2" borderId="1" xfId="1" applyNumberFormat="1" applyFill="1" applyBorder="1" applyAlignment="1">
      <alignment horizontal="right"/>
    </xf>
    <xf numFmtId="165" fontId="15" fillId="2" borderId="5" xfId="1" applyNumberFormat="1" applyFill="1" applyBorder="1" applyAlignment="1">
      <alignment horizontal="right"/>
    </xf>
    <xf numFmtId="165" fontId="15" fillId="2" borderId="4" xfId="1" applyNumberFormat="1" applyFill="1" applyBorder="1" applyAlignment="1">
      <alignment horizontal="right"/>
    </xf>
    <xf numFmtId="1" fontId="15" fillId="2" borderId="4" xfId="1" applyNumberFormat="1" applyFill="1" applyBorder="1" applyAlignment="1">
      <alignment horizontal="right"/>
    </xf>
    <xf numFmtId="14" fontId="15" fillId="2" borderId="8" xfId="1" applyNumberFormat="1" applyFill="1" applyBorder="1" applyAlignment="1">
      <alignment horizontal="right"/>
    </xf>
    <xf numFmtId="165" fontId="15" fillId="2" borderId="6" xfId="1" applyNumberFormat="1" applyFill="1" applyBorder="1" applyAlignment="1">
      <alignment horizontal="right"/>
    </xf>
    <xf numFmtId="165" fontId="15" fillId="2" borderId="7" xfId="1" applyNumberFormat="1" applyFill="1" applyBorder="1" applyAlignment="1">
      <alignment horizontal="right"/>
    </xf>
    <xf numFmtId="1" fontId="15" fillId="2" borderId="6" xfId="1" applyNumberFormat="1" applyFill="1" applyBorder="1" applyAlignment="1">
      <alignment horizontal="right"/>
    </xf>
    <xf numFmtId="165" fontId="32" fillId="2" borderId="2" xfId="1" applyNumberFormat="1" applyFont="1" applyFill="1" applyBorder="1" applyAlignment="1">
      <alignment horizontal="right"/>
    </xf>
    <xf numFmtId="0" fontId="32" fillId="2" borderId="2" xfId="1" applyFont="1" applyFill="1" applyBorder="1" applyAlignment="1">
      <alignment horizontal="right"/>
    </xf>
    <xf numFmtId="0" fontId="6" fillId="2" borderId="1" xfId="1" applyFont="1" applyFill="1" applyBorder="1" applyAlignment="1">
      <alignment horizontal="left"/>
    </xf>
    <xf numFmtId="0" fontId="6" fillId="2" borderId="4" xfId="1" applyFont="1" applyFill="1" applyBorder="1" applyAlignment="1">
      <alignment horizontal="left"/>
    </xf>
    <xf numFmtId="165" fontId="32" fillId="2" borderId="7" xfId="1" applyNumberFormat="1" applyFont="1" applyFill="1" applyBorder="1" applyAlignment="1">
      <alignment horizontal="right"/>
    </xf>
    <xf numFmtId="0" fontId="32" fillId="2" borderId="7" xfId="1" applyFont="1" applyFill="1" applyBorder="1" applyAlignment="1">
      <alignment horizontal="right"/>
    </xf>
    <xf numFmtId="0" fontId="6" fillId="2" borderId="6" xfId="1" applyFont="1" applyFill="1" applyBorder="1" applyAlignment="1">
      <alignment horizontal="right"/>
    </xf>
    <xf numFmtId="168" fontId="22" fillId="2" borderId="0" xfId="1" applyNumberFormat="1" applyFont="1" applyFill="1" applyAlignment="1">
      <alignment horizontal="left" vertical="center"/>
    </xf>
    <xf numFmtId="168" fontId="6" fillId="2" borderId="0" xfId="1" applyNumberFormat="1" applyFont="1" applyFill="1" applyAlignment="1">
      <alignment horizontal="center" vertical="center"/>
    </xf>
    <xf numFmtId="0" fontId="18" fillId="2" borderId="3" xfId="1" applyFont="1" applyFill="1" applyBorder="1" applyAlignment="1">
      <alignment horizontal="right"/>
    </xf>
    <xf numFmtId="0" fontId="30" fillId="2" borderId="8" xfId="1" applyFont="1" applyFill="1" applyBorder="1" applyAlignment="1">
      <alignment horizontal="right"/>
    </xf>
    <xf numFmtId="0" fontId="6" fillId="5" borderId="1" xfId="1" applyFont="1" applyFill="1" applyBorder="1" applyAlignment="1">
      <alignment horizontal="center" vertical="center" textRotation="90" wrapText="1"/>
    </xf>
    <xf numFmtId="0" fontId="8" fillId="5" borderId="21" xfId="1" applyFont="1" applyFill="1" applyBorder="1" applyAlignment="1" applyProtection="1">
      <alignment horizontal="center" vertical="center"/>
      <protection locked="0"/>
    </xf>
    <xf numFmtId="1" fontId="6" fillId="2" borderId="25" xfId="1" applyNumberFormat="1" applyFont="1" applyFill="1" applyBorder="1" applyAlignment="1">
      <alignment horizontal="center" vertical="center"/>
    </xf>
    <xf numFmtId="1" fontId="6" fillId="2" borderId="26" xfId="1" applyNumberFormat="1" applyFont="1" applyFill="1" applyBorder="1" applyAlignment="1">
      <alignment horizontal="center" vertical="center"/>
    </xf>
    <xf numFmtId="1" fontId="6" fillId="2" borderId="27" xfId="1" applyNumberFormat="1" applyFont="1" applyFill="1" applyBorder="1" applyAlignment="1">
      <alignment horizontal="center" vertical="center"/>
    </xf>
    <xf numFmtId="165" fontId="6" fillId="2" borderId="27" xfId="1" applyNumberFormat="1" applyFont="1" applyFill="1" applyBorder="1" applyAlignment="1">
      <alignment horizontal="center" vertical="center"/>
    </xf>
    <xf numFmtId="0" fontId="33" fillId="2" borderId="0" xfId="1" applyFont="1" applyFill="1" applyAlignment="1">
      <alignment horizontal="left" vertical="center"/>
    </xf>
    <xf numFmtId="0" fontId="14" fillId="2" borderId="0" xfId="1" applyFont="1" applyFill="1" applyAlignment="1">
      <alignment horizontal="right"/>
    </xf>
    <xf numFmtId="0" fontId="15" fillId="2" borderId="0" xfId="1" applyFill="1" applyAlignment="1">
      <alignment horizontal="center" vertical="center" wrapText="1"/>
    </xf>
    <xf numFmtId="1" fontId="17" fillId="2" borderId="0" xfId="1" applyNumberFormat="1" applyFont="1" applyFill="1" applyAlignment="1">
      <alignment horizontal="center"/>
    </xf>
    <xf numFmtId="165" fontId="15" fillId="2" borderId="0" xfId="1" applyNumberFormat="1" applyFill="1" applyAlignment="1">
      <alignment horizontal="center"/>
    </xf>
    <xf numFmtId="0" fontId="34" fillId="2" borderId="0" xfId="1" applyFont="1" applyFill="1" applyAlignment="1">
      <alignment horizontal="right"/>
    </xf>
    <xf numFmtId="0" fontId="35" fillId="2" borderId="0" xfId="1" applyFont="1" applyFill="1" applyAlignment="1">
      <alignment horizontal="center" vertical="center"/>
    </xf>
    <xf numFmtId="0" fontId="36" fillId="6" borderId="47" xfId="0" applyFont="1" applyFill="1" applyBorder="1"/>
    <xf numFmtId="0" fontId="36" fillId="6" borderId="48" xfId="0" applyFont="1" applyFill="1" applyBorder="1"/>
    <xf numFmtId="0" fontId="37" fillId="6" borderId="50" xfId="0" applyFont="1" applyFill="1" applyBorder="1" applyAlignment="1">
      <alignment vertical="center"/>
    </xf>
    <xf numFmtId="0" fontId="38" fillId="6" borderId="0" xfId="0" applyFont="1" applyFill="1"/>
    <xf numFmtId="0" fontId="37" fillId="6" borderId="51" xfId="0" applyFont="1" applyFill="1" applyBorder="1" applyAlignment="1">
      <alignment horizontal="right" vertical="center"/>
    </xf>
    <xf numFmtId="0" fontId="39" fillId="6" borderId="52" xfId="0" applyFont="1" applyFill="1" applyBorder="1" applyAlignment="1">
      <alignment horizontal="center" vertical="center"/>
    </xf>
    <xf numFmtId="0" fontId="39" fillId="6" borderId="49" xfId="0" applyFont="1" applyFill="1" applyBorder="1" applyAlignment="1">
      <alignment vertical="center"/>
    </xf>
    <xf numFmtId="0" fontId="39" fillId="6" borderId="50" xfId="0" applyFont="1" applyFill="1" applyBorder="1" applyAlignment="1">
      <alignment horizontal="left" vertical="center"/>
    </xf>
    <xf numFmtId="0" fontId="39" fillId="6" borderId="55" xfId="0" applyFont="1" applyFill="1" applyBorder="1" applyAlignment="1">
      <alignment horizontal="center" vertical="center"/>
    </xf>
    <xf numFmtId="0" fontId="42" fillId="2" borderId="0" xfId="1" applyFont="1" applyFill="1" applyAlignment="1">
      <alignment horizontal="right"/>
    </xf>
    <xf numFmtId="2" fontId="42" fillId="2" borderId="0" xfId="1" applyNumberFormat="1" applyFont="1" applyFill="1"/>
    <xf numFmtId="165" fontId="42" fillId="2" borderId="0" xfId="1" applyNumberFormat="1" applyFont="1" applyFill="1"/>
    <xf numFmtId="0" fontId="43" fillId="2" borderId="0" xfId="1" applyFont="1" applyFill="1" applyAlignment="1">
      <alignment horizontal="right"/>
    </xf>
    <xf numFmtId="0" fontId="44" fillId="6" borderId="50" xfId="0" applyFont="1" applyFill="1" applyBorder="1" applyAlignment="1">
      <alignment horizontal="center"/>
    </xf>
    <xf numFmtId="1" fontId="41" fillId="6" borderId="50" xfId="0" applyNumberFormat="1" applyFont="1" applyFill="1" applyBorder="1" applyAlignment="1">
      <alignment horizontal="center" vertical="center"/>
    </xf>
    <xf numFmtId="2" fontId="39" fillId="6" borderId="55" xfId="0" applyNumberFormat="1" applyFont="1" applyFill="1" applyBorder="1" applyAlignment="1">
      <alignment horizontal="center" vertical="center"/>
    </xf>
    <xf numFmtId="170" fontId="39" fillId="6" borderId="52" xfId="0" applyNumberFormat="1" applyFont="1" applyFill="1" applyBorder="1" applyAlignment="1">
      <alignment horizontal="left" vertical="center"/>
    </xf>
    <xf numFmtId="0" fontId="39" fillId="6" borderId="52" xfId="0" applyFont="1" applyFill="1" applyBorder="1" applyAlignment="1">
      <alignment horizontal="right" vertical="center"/>
    </xf>
    <xf numFmtId="165" fontId="45" fillId="6" borderId="49" xfId="1" applyNumberFormat="1" applyFont="1" applyFill="1" applyBorder="1" applyAlignment="1">
      <alignment horizontal="left" vertical="center"/>
    </xf>
    <xf numFmtId="165" fontId="46" fillId="6" borderId="50" xfId="1" applyNumberFormat="1" applyFont="1" applyFill="1" applyBorder="1"/>
    <xf numFmtId="165" fontId="45" fillId="6" borderId="50" xfId="1" applyNumberFormat="1" applyFont="1" applyFill="1" applyBorder="1" applyAlignment="1">
      <alignment horizontal="left" vertical="center"/>
    </xf>
    <xf numFmtId="165" fontId="47" fillId="6" borderId="50" xfId="1" applyNumberFormat="1" applyFont="1" applyFill="1" applyBorder="1" applyAlignment="1">
      <alignment horizontal="left" vertical="center"/>
    </xf>
    <xf numFmtId="165" fontId="46" fillId="6" borderId="52" xfId="1" applyNumberFormat="1" applyFont="1" applyFill="1" applyBorder="1"/>
    <xf numFmtId="165" fontId="50" fillId="6" borderId="50" xfId="1" applyNumberFormat="1" applyFont="1" applyFill="1" applyBorder="1" applyAlignment="1">
      <alignment horizontal="right" vertical="center"/>
    </xf>
    <xf numFmtId="165" fontId="50" fillId="6" borderId="54" xfId="1" applyNumberFormat="1" applyFont="1" applyFill="1" applyBorder="1" applyAlignment="1">
      <alignment horizontal="right" vertical="center"/>
    </xf>
    <xf numFmtId="165" fontId="45" fillId="6" borderId="52" xfId="1" applyNumberFormat="1" applyFont="1" applyFill="1" applyBorder="1" applyAlignment="1">
      <alignment horizontal="left" vertical="center"/>
    </xf>
    <xf numFmtId="164" fontId="15" fillId="2" borderId="1" xfId="1" applyNumberFormat="1" applyFill="1" applyBorder="1"/>
    <xf numFmtId="164" fontId="4" fillId="2" borderId="2" xfId="1" applyNumberFormat="1" applyFont="1" applyFill="1" applyBorder="1" applyAlignment="1">
      <alignment horizontal="right"/>
    </xf>
    <xf numFmtId="164" fontId="4" fillId="2" borderId="1" xfId="1" applyNumberFormat="1" applyFont="1" applyFill="1" applyBorder="1" applyAlignment="1">
      <alignment horizontal="right"/>
    </xf>
    <xf numFmtId="164" fontId="15" fillId="2" borderId="2" xfId="1" applyNumberFormat="1" applyFill="1" applyBorder="1"/>
    <xf numFmtId="164" fontId="4" fillId="2" borderId="3" xfId="1" applyNumberFormat="1" applyFont="1" applyFill="1" applyBorder="1" applyAlignment="1">
      <alignment horizontal="right"/>
    </xf>
    <xf numFmtId="164" fontId="15" fillId="2" borderId="0" xfId="1" applyNumberFormat="1" applyFill="1"/>
    <xf numFmtId="164" fontId="15" fillId="2" borderId="4" xfId="1" applyNumberFormat="1" applyFill="1" applyBorder="1"/>
    <xf numFmtId="164" fontId="5" fillId="2" borderId="0" xfId="1" applyNumberFormat="1" applyFont="1" applyFill="1" applyAlignment="1">
      <alignment horizontal="center"/>
    </xf>
    <xf numFmtId="164" fontId="5" fillId="2" borderId="4" xfId="1" applyNumberFormat="1" applyFont="1" applyFill="1" applyBorder="1" applyAlignment="1">
      <alignment horizontal="center"/>
    </xf>
    <xf numFmtId="164" fontId="4" fillId="2" borderId="0" xfId="1" applyNumberFormat="1" applyFont="1" applyFill="1" applyAlignment="1">
      <alignment horizontal="right"/>
    </xf>
    <xf numFmtId="164" fontId="6" fillId="2" borderId="0" xfId="1" applyNumberFormat="1" applyFont="1" applyFill="1" applyAlignment="1">
      <alignment horizontal="center"/>
    </xf>
    <xf numFmtId="164" fontId="6" fillId="2" borderId="5" xfId="1" applyNumberFormat="1" applyFont="1" applyFill="1" applyBorder="1" applyAlignment="1">
      <alignment horizontal="center"/>
    </xf>
    <xf numFmtId="164" fontId="4" fillId="2" borderId="4" xfId="1" applyNumberFormat="1" applyFont="1" applyFill="1" applyBorder="1" applyAlignment="1">
      <alignment horizontal="right"/>
    </xf>
    <xf numFmtId="164" fontId="8" fillId="2" borderId="0" xfId="1" applyNumberFormat="1" applyFont="1" applyFill="1" applyAlignment="1">
      <alignment horizontal="center"/>
    </xf>
    <xf numFmtId="164" fontId="8" fillId="2" borderId="4" xfId="1" applyNumberFormat="1" applyFont="1" applyFill="1" applyBorder="1" applyAlignment="1">
      <alignment horizontal="center"/>
    </xf>
    <xf numFmtId="171" fontId="6" fillId="2" borderId="5" xfId="1" applyNumberFormat="1" applyFont="1" applyFill="1" applyBorder="1" applyAlignment="1">
      <alignment horizontal="center"/>
    </xf>
    <xf numFmtId="164" fontId="15" fillId="2" borderId="6" xfId="1" applyNumberFormat="1" applyFill="1" applyBorder="1"/>
    <xf numFmtId="164" fontId="4" fillId="2" borderId="7" xfId="1" applyNumberFormat="1" applyFont="1" applyFill="1" applyBorder="1" applyAlignment="1">
      <alignment horizontal="right"/>
    </xf>
    <xf numFmtId="164" fontId="4" fillId="2" borderId="6" xfId="1" applyNumberFormat="1" applyFont="1" applyFill="1" applyBorder="1" applyAlignment="1">
      <alignment horizontal="right"/>
    </xf>
    <xf numFmtId="164" fontId="15" fillId="2" borderId="7" xfId="1" applyNumberFormat="1" applyFill="1" applyBorder="1"/>
    <xf numFmtId="164" fontId="4" fillId="2" borderId="8" xfId="1" applyNumberFormat="1" applyFont="1" applyFill="1" applyBorder="1" applyAlignment="1">
      <alignment horizontal="right"/>
    </xf>
    <xf numFmtId="164" fontId="14" fillId="2" borderId="12" xfId="1" applyNumberFormat="1" applyFont="1" applyFill="1" applyBorder="1" applyAlignment="1">
      <alignment vertical="center"/>
    </xf>
    <xf numFmtId="164" fontId="10" fillId="2" borderId="0" xfId="1" applyNumberFormat="1" applyFont="1" applyFill="1" applyAlignment="1">
      <alignment horizontal="left" vertical="center"/>
    </xf>
    <xf numFmtId="164" fontId="14" fillId="2" borderId="9" xfId="1" applyNumberFormat="1" applyFont="1" applyFill="1" applyBorder="1" applyAlignment="1">
      <alignment vertical="center"/>
    </xf>
    <xf numFmtId="164" fontId="14" fillId="2" borderId="0" xfId="1" applyNumberFormat="1" applyFont="1" applyFill="1" applyAlignment="1">
      <alignment vertical="center"/>
    </xf>
    <xf numFmtId="164" fontId="14" fillId="2" borderId="19" xfId="1" applyNumberFormat="1" applyFont="1" applyFill="1" applyBorder="1" applyAlignment="1">
      <alignment vertical="center"/>
    </xf>
    <xf numFmtId="164" fontId="15" fillId="2" borderId="14" xfId="1" applyNumberFormat="1" applyFill="1" applyBorder="1"/>
    <xf numFmtId="164" fontId="10" fillId="2" borderId="11" xfId="1" applyNumberFormat="1" applyFont="1" applyFill="1" applyBorder="1" applyAlignment="1">
      <alignment horizontal="right" vertical="center"/>
    </xf>
    <xf numFmtId="164" fontId="15" fillId="2" borderId="12" xfId="1" applyNumberFormat="1" applyFill="1" applyBorder="1"/>
    <xf numFmtId="164" fontId="15" fillId="2" borderId="9" xfId="1" applyNumberFormat="1" applyFill="1" applyBorder="1"/>
    <xf numFmtId="1" fontId="10" fillId="2" borderId="15" xfId="1" applyNumberFormat="1" applyFont="1" applyFill="1" applyBorder="1" applyAlignment="1">
      <alignment horizontal="right" vertical="center"/>
    </xf>
    <xf numFmtId="164" fontId="15" fillId="2" borderId="10" xfId="1" applyNumberFormat="1" applyFill="1" applyBorder="1"/>
    <xf numFmtId="1" fontId="6" fillId="2" borderId="11" xfId="1" applyNumberFormat="1" applyFont="1" applyFill="1" applyBorder="1" applyAlignment="1">
      <alignment horizontal="right" vertical="center"/>
    </xf>
    <xf numFmtId="164" fontId="15" fillId="2" borderId="16" xfId="1" applyNumberFormat="1" applyFill="1" applyBorder="1"/>
    <xf numFmtId="1" fontId="6" fillId="2" borderId="15" xfId="1" applyNumberFormat="1" applyFont="1" applyFill="1" applyBorder="1" applyAlignment="1">
      <alignment horizontal="right" vertical="center"/>
    </xf>
    <xf numFmtId="165" fontId="15" fillId="2" borderId="12" xfId="1" applyNumberFormat="1" applyFill="1" applyBorder="1"/>
    <xf numFmtId="165" fontId="6" fillId="2" borderId="13" xfId="1" applyNumberFormat="1" applyFont="1" applyFill="1" applyBorder="1" applyAlignment="1">
      <alignment horizontal="right" vertical="center"/>
    </xf>
    <xf numFmtId="165" fontId="15" fillId="2" borderId="0" xfId="1" applyNumberFormat="1" applyFill="1"/>
    <xf numFmtId="165" fontId="15" fillId="2" borderId="9" xfId="1" applyNumberFormat="1" applyFill="1" applyBorder="1"/>
    <xf numFmtId="165" fontId="15" fillId="2" borderId="14" xfId="1" applyNumberFormat="1" applyFill="1" applyBorder="1"/>
    <xf numFmtId="165" fontId="6" fillId="2" borderId="15" xfId="1" applyNumberFormat="1" applyFont="1" applyFill="1" applyBorder="1" applyAlignment="1">
      <alignment horizontal="right" vertical="center"/>
    </xf>
    <xf numFmtId="2" fontId="6" fillId="2" borderId="15" xfId="1" applyNumberFormat="1" applyFont="1" applyFill="1" applyBorder="1" applyAlignment="1">
      <alignment horizontal="right" vertical="center"/>
    </xf>
    <xf numFmtId="2" fontId="6" fillId="2" borderId="13" xfId="1" applyNumberFormat="1" applyFont="1" applyFill="1" applyBorder="1" applyAlignment="1">
      <alignment horizontal="right" vertical="center"/>
    </xf>
    <xf numFmtId="164" fontId="6" fillId="2" borderId="18" xfId="1" applyNumberFormat="1" applyFont="1" applyFill="1" applyBorder="1" applyAlignment="1">
      <alignment horizontal="right" vertical="center"/>
    </xf>
    <xf numFmtId="164" fontId="14" fillId="2" borderId="17" xfId="1" applyNumberFormat="1" applyFont="1" applyFill="1" applyBorder="1" applyAlignment="1">
      <alignment vertical="center"/>
    </xf>
    <xf numFmtId="164" fontId="10" fillId="2" borderId="0" xfId="1" applyNumberFormat="1" applyFont="1" applyFill="1" applyAlignment="1">
      <alignment horizontal="right" vertical="center"/>
    </xf>
    <xf numFmtId="165" fontId="6" fillId="2" borderId="11" xfId="1" applyNumberFormat="1" applyFont="1" applyFill="1" applyBorder="1" applyAlignment="1">
      <alignment horizontal="right" vertical="center"/>
    </xf>
    <xf numFmtId="164" fontId="6" fillId="2" borderId="15" xfId="1" applyNumberFormat="1" applyFont="1" applyFill="1" applyBorder="1" applyAlignment="1">
      <alignment horizontal="right" vertical="center"/>
    </xf>
    <xf numFmtId="1" fontId="6" fillId="2" borderId="13" xfId="1" applyNumberFormat="1" applyFont="1" applyFill="1" applyBorder="1" applyAlignment="1">
      <alignment horizontal="right" vertical="center"/>
    </xf>
    <xf numFmtId="165" fontId="15" fillId="2" borderId="17" xfId="1" applyNumberFormat="1" applyFill="1" applyBorder="1"/>
    <xf numFmtId="165" fontId="15" fillId="2" borderId="16" xfId="1" applyNumberFormat="1" applyFill="1" applyBorder="1"/>
    <xf numFmtId="166" fontId="4" fillId="2" borderId="0" xfId="1" applyNumberFormat="1" applyFont="1" applyFill="1" applyAlignment="1">
      <alignment horizontal="right"/>
    </xf>
    <xf numFmtId="164" fontId="59" fillId="2" borderId="0" xfId="1" applyNumberFormat="1" applyFont="1" applyFill="1"/>
    <xf numFmtId="164" fontId="60" fillId="2" borderId="0" xfId="1" applyNumberFormat="1" applyFont="1" applyFill="1" applyAlignment="1">
      <alignment horizontal="right"/>
    </xf>
    <xf numFmtId="164" fontId="61" fillId="2" borderId="0" xfId="1" applyNumberFormat="1" applyFont="1" applyFill="1" applyAlignment="1">
      <alignment horizontal="right"/>
    </xf>
    <xf numFmtId="164" fontId="34" fillId="2" borderId="0" xfId="1" applyNumberFormat="1" applyFont="1" applyFill="1"/>
    <xf numFmtId="164" fontId="4" fillId="2" borderId="15" xfId="1" applyNumberFormat="1" applyFont="1" applyFill="1" applyBorder="1" applyAlignment="1">
      <alignment horizontal="right"/>
    </xf>
    <xf numFmtId="164" fontId="4" fillId="2" borderId="14" xfId="1" applyNumberFormat="1" applyFont="1" applyFill="1" applyBorder="1" applyAlignment="1">
      <alignment horizontal="right"/>
    </xf>
    <xf numFmtId="1" fontId="6" fillId="2" borderId="29" xfId="1" applyNumberFormat="1" applyFont="1" applyFill="1" applyBorder="1" applyAlignment="1">
      <alignment horizontal="center"/>
    </xf>
    <xf numFmtId="1" fontId="6" fillId="2" borderId="15" xfId="1" applyNumberFormat="1" applyFont="1" applyFill="1" applyBorder="1" applyAlignment="1">
      <alignment horizontal="center"/>
    </xf>
    <xf numFmtId="165" fontId="6" fillId="2" borderId="15" xfId="1" applyNumberFormat="1" applyFont="1" applyFill="1" applyBorder="1" applyAlignment="1">
      <alignment horizontal="center"/>
    </xf>
    <xf numFmtId="1" fontId="6" fillId="2" borderId="38" xfId="1" applyNumberFormat="1" applyFont="1" applyFill="1" applyBorder="1" applyAlignment="1">
      <alignment horizontal="center" vertical="center"/>
    </xf>
    <xf numFmtId="164" fontId="10" fillId="2" borderId="15" xfId="1" applyNumberFormat="1" applyFont="1" applyFill="1" applyBorder="1" applyAlignment="1">
      <alignment horizontal="left" vertical="center"/>
    </xf>
    <xf numFmtId="164" fontId="34" fillId="2" borderId="0" xfId="0" applyNumberFormat="1" applyFont="1" applyFill="1"/>
    <xf numFmtId="164" fontId="61" fillId="2" borderId="0" xfId="0" applyNumberFormat="1" applyFont="1" applyFill="1" applyAlignment="1">
      <alignment horizontal="right"/>
    </xf>
    <xf numFmtId="164" fontId="62" fillId="2" borderId="0" xfId="0" applyNumberFormat="1" applyFont="1" applyFill="1"/>
    <xf numFmtId="164" fontId="63" fillId="2" borderId="0" xfId="0" applyNumberFormat="1" applyFont="1" applyFill="1" applyAlignment="1">
      <alignment horizontal="right"/>
    </xf>
    <xf numFmtId="0" fontId="2" fillId="0" borderId="0" xfId="2"/>
    <xf numFmtId="0" fontId="2" fillId="3" borderId="0" xfId="2" applyFill="1"/>
    <xf numFmtId="0" fontId="3" fillId="7" borderId="0" xfId="2" applyFont="1" applyFill="1"/>
    <xf numFmtId="0" fontId="2" fillId="3" borderId="0" xfId="2" applyFill="1" applyAlignment="1">
      <alignment horizontal="center"/>
    </xf>
    <xf numFmtId="0" fontId="2" fillId="3" borderId="4" xfId="2" applyFill="1" applyBorder="1" applyAlignment="1">
      <alignment horizontal="center"/>
    </xf>
    <xf numFmtId="0" fontId="2" fillId="3" borderId="5" xfId="2" applyFill="1" applyBorder="1" applyAlignment="1">
      <alignment horizontal="center"/>
    </xf>
    <xf numFmtId="0" fontId="2" fillId="3" borderId="34" xfId="2" applyFill="1" applyBorder="1" applyAlignment="1">
      <alignment horizontal="center"/>
    </xf>
    <xf numFmtId="0" fontId="2" fillId="0" borderId="0" xfId="2" applyAlignment="1">
      <alignment horizontal="right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/>
    </xf>
    <xf numFmtId="0" fontId="2" fillId="3" borderId="0" xfId="2" applyFill="1" applyAlignment="1">
      <alignment horizontal="center" vertical="center"/>
    </xf>
    <xf numFmtId="0" fontId="2" fillId="3" borderId="1" xfId="2" applyFill="1" applyBorder="1" applyAlignment="1">
      <alignment horizontal="center"/>
    </xf>
    <xf numFmtId="0" fontId="2" fillId="3" borderId="2" xfId="2" applyFill="1" applyBorder="1" applyAlignment="1">
      <alignment horizontal="center"/>
    </xf>
    <xf numFmtId="0" fontId="2" fillId="3" borderId="3" xfId="2" applyFill="1" applyBorder="1" applyAlignment="1">
      <alignment horizontal="center"/>
    </xf>
    <xf numFmtId="0" fontId="2" fillId="3" borderId="33" xfId="2" applyFill="1" applyBorder="1" applyAlignment="1">
      <alignment horizontal="center"/>
    </xf>
    <xf numFmtId="2" fontId="2" fillId="3" borderId="0" xfId="2" applyNumberFormat="1" applyFill="1" applyAlignment="1">
      <alignment horizontal="center" vertical="center"/>
    </xf>
    <xf numFmtId="2" fontId="3" fillId="3" borderId="0" xfId="2" applyNumberFormat="1" applyFont="1" applyFill="1" applyAlignment="1">
      <alignment horizontal="center"/>
    </xf>
    <xf numFmtId="164" fontId="2" fillId="3" borderId="0" xfId="2" applyNumberFormat="1" applyFill="1" applyAlignment="1">
      <alignment horizontal="center"/>
    </xf>
    <xf numFmtId="165" fontId="15" fillId="3" borderId="0" xfId="1" applyNumberFormat="1" applyFill="1" applyAlignment="1">
      <alignment horizontal="center"/>
    </xf>
    <xf numFmtId="1" fontId="2" fillId="3" borderId="0" xfId="2" applyNumberFormat="1" applyFill="1" applyAlignment="1">
      <alignment horizontal="center"/>
    </xf>
    <xf numFmtId="165" fontId="2" fillId="3" borderId="0" xfId="2" applyNumberFormat="1" applyFill="1" applyAlignment="1">
      <alignment horizontal="center"/>
    </xf>
    <xf numFmtId="165" fontId="2" fillId="3" borderId="4" xfId="2" applyNumberFormat="1" applyFill="1" applyBorder="1" applyAlignment="1">
      <alignment horizontal="center"/>
    </xf>
    <xf numFmtId="165" fontId="2" fillId="3" borderId="5" xfId="2" applyNumberFormat="1" applyFill="1" applyBorder="1" applyAlignment="1">
      <alignment horizontal="center"/>
    </xf>
    <xf numFmtId="1" fontId="2" fillId="3" borderId="34" xfId="2" applyNumberFormat="1" applyFill="1" applyBorder="1" applyAlignment="1">
      <alignment horizontal="center"/>
    </xf>
    <xf numFmtId="165" fontId="3" fillId="3" borderId="0" xfId="2" applyNumberFormat="1" applyFont="1" applyFill="1" applyAlignment="1">
      <alignment horizontal="center"/>
    </xf>
    <xf numFmtId="0" fontId="64" fillId="7" borderId="0" xfId="2" applyFont="1" applyFill="1" applyAlignment="1">
      <alignment horizontal="center"/>
    </xf>
    <xf numFmtId="1" fontId="2" fillId="0" borderId="0" xfId="2" applyNumberFormat="1" applyAlignment="1">
      <alignment horizontal="center" vertical="center"/>
    </xf>
    <xf numFmtId="0" fontId="3" fillId="3" borderId="0" xfId="2" applyFont="1" applyFill="1" applyAlignment="1">
      <alignment horizontal="right"/>
    </xf>
    <xf numFmtId="2" fontId="2" fillId="7" borderId="0" xfId="2" applyNumberFormat="1" applyFill="1" applyAlignment="1">
      <alignment horizontal="center" vertical="center"/>
    </xf>
    <xf numFmtId="2" fontId="3" fillId="7" borderId="0" xfId="2" applyNumberFormat="1" applyFont="1" applyFill="1" applyAlignment="1">
      <alignment horizontal="center"/>
    </xf>
    <xf numFmtId="164" fontId="2" fillId="7" borderId="0" xfId="2" applyNumberFormat="1" applyFill="1" applyAlignment="1">
      <alignment horizontal="center"/>
    </xf>
    <xf numFmtId="165" fontId="15" fillId="7" borderId="0" xfId="1" applyNumberFormat="1" applyFill="1" applyAlignment="1">
      <alignment horizontal="center"/>
    </xf>
    <xf numFmtId="1" fontId="2" fillId="7" borderId="0" xfId="2" applyNumberFormat="1" applyFill="1" applyAlignment="1">
      <alignment horizontal="center"/>
    </xf>
    <xf numFmtId="165" fontId="2" fillId="7" borderId="0" xfId="2" applyNumberFormat="1" applyFill="1" applyAlignment="1">
      <alignment horizontal="center"/>
    </xf>
    <xf numFmtId="165" fontId="2" fillId="7" borderId="4" xfId="2" applyNumberFormat="1" applyFill="1" applyBorder="1" applyAlignment="1">
      <alignment horizontal="center"/>
    </xf>
    <xf numFmtId="165" fontId="2" fillId="7" borderId="5" xfId="2" applyNumberFormat="1" applyFill="1" applyBorder="1" applyAlignment="1">
      <alignment horizontal="center"/>
    </xf>
    <xf numFmtId="1" fontId="2" fillId="7" borderId="34" xfId="2" applyNumberFormat="1" applyFill="1" applyBorder="1" applyAlignment="1">
      <alignment horizontal="center"/>
    </xf>
    <xf numFmtId="165" fontId="3" fillId="7" borderId="0" xfId="2" applyNumberFormat="1" applyFont="1" applyFill="1" applyAlignment="1">
      <alignment horizontal="center"/>
    </xf>
    <xf numFmtId="165" fontId="2" fillId="0" borderId="0" xfId="2" applyNumberFormat="1" applyAlignment="1">
      <alignment horizontal="center" vertical="center"/>
    </xf>
    <xf numFmtId="0" fontId="2" fillId="3" borderId="0" xfId="2" applyFill="1" applyAlignment="1">
      <alignment horizontal="right"/>
    </xf>
    <xf numFmtId="2" fontId="6" fillId="4" borderId="11" xfId="0" applyNumberFormat="1" applyFont="1" applyFill="1" applyBorder="1" applyAlignment="1">
      <alignment horizontal="right"/>
    </xf>
    <xf numFmtId="2" fontId="6" fillId="4" borderId="15" xfId="0" applyNumberFormat="1" applyFont="1" applyFill="1" applyBorder="1" applyAlignment="1">
      <alignment horizontal="left"/>
    </xf>
    <xf numFmtId="2" fontId="6" fillId="4" borderId="13" xfId="0" applyNumberFormat="1" applyFont="1" applyFill="1" applyBorder="1" applyAlignment="1">
      <alignment horizontal="right"/>
    </xf>
    <xf numFmtId="2" fontId="2" fillId="3" borderId="0" xfId="2" applyNumberFormat="1" applyFill="1" applyAlignment="1">
      <alignment horizontal="center"/>
    </xf>
    <xf numFmtId="2" fontId="65" fillId="7" borderId="0" xfId="2" applyNumberFormat="1" applyFont="1" applyFill="1" applyAlignment="1">
      <alignment horizontal="left" vertical="center"/>
    </xf>
    <xf numFmtId="1" fontId="2" fillId="0" borderId="0" xfId="2" applyNumberFormat="1"/>
    <xf numFmtId="2" fontId="64" fillId="3" borderId="0" xfId="2" applyNumberFormat="1" applyFont="1" applyFill="1" applyAlignment="1">
      <alignment horizontal="center" vertical="center"/>
    </xf>
    <xf numFmtId="164" fontId="64" fillId="3" borderId="0" xfId="2" applyNumberFormat="1" applyFont="1" applyFill="1" applyAlignment="1">
      <alignment horizontal="center"/>
    </xf>
    <xf numFmtId="165" fontId="64" fillId="3" borderId="0" xfId="2" applyNumberFormat="1" applyFont="1" applyFill="1" applyAlignment="1">
      <alignment horizontal="center"/>
    </xf>
    <xf numFmtId="1" fontId="64" fillId="3" borderId="0" xfId="2" applyNumberFormat="1" applyFont="1" applyFill="1" applyAlignment="1">
      <alignment horizontal="center"/>
    </xf>
    <xf numFmtId="2" fontId="64" fillId="3" borderId="0" xfId="2" applyNumberFormat="1" applyFont="1" applyFill="1" applyAlignment="1">
      <alignment horizontal="center"/>
    </xf>
    <xf numFmtId="165" fontId="64" fillId="3" borderId="4" xfId="2" applyNumberFormat="1" applyFont="1" applyFill="1" applyBorder="1" applyAlignment="1">
      <alignment horizontal="center"/>
    </xf>
    <xf numFmtId="165" fontId="64" fillId="3" borderId="5" xfId="2" applyNumberFormat="1" applyFont="1" applyFill="1" applyBorder="1" applyAlignment="1">
      <alignment horizontal="center"/>
    </xf>
    <xf numFmtId="1" fontId="64" fillId="3" borderId="34" xfId="2" applyNumberFormat="1" applyFont="1" applyFill="1" applyBorder="1" applyAlignment="1">
      <alignment horizontal="center"/>
    </xf>
    <xf numFmtId="165" fontId="66" fillId="3" borderId="0" xfId="2" applyNumberFormat="1" applyFont="1" applyFill="1" applyAlignment="1">
      <alignment horizontal="center"/>
    </xf>
    <xf numFmtId="2" fontId="2" fillId="7" borderId="0" xfId="2" applyNumberFormat="1" applyFill="1" applyAlignment="1">
      <alignment horizontal="center"/>
    </xf>
    <xf numFmtId="1" fontId="15" fillId="3" borderId="0" xfId="1" applyNumberFormat="1" applyFill="1" applyAlignment="1">
      <alignment horizontal="center"/>
    </xf>
    <xf numFmtId="2" fontId="15" fillId="3" borderId="0" xfId="1" applyNumberFormat="1" applyFill="1" applyAlignment="1">
      <alignment horizontal="center"/>
    </xf>
    <xf numFmtId="1" fontId="15" fillId="7" borderId="0" xfId="1" applyNumberFormat="1" applyFill="1" applyAlignment="1">
      <alignment horizontal="center"/>
    </xf>
    <xf numFmtId="2" fontId="15" fillId="7" borderId="0" xfId="1" applyNumberFormat="1" applyFill="1" applyAlignment="1">
      <alignment horizontal="center"/>
    </xf>
    <xf numFmtId="0" fontId="15" fillId="7" borderId="0" xfId="1" applyFill="1" applyAlignment="1">
      <alignment horizontal="center"/>
    </xf>
    <xf numFmtId="0" fontId="15" fillId="3" borderId="0" xfId="1" applyFill="1" applyAlignment="1">
      <alignment horizontal="center"/>
    </xf>
    <xf numFmtId="1" fontId="2" fillId="3" borderId="24" xfId="2" applyNumberFormat="1" applyFill="1" applyBorder="1" applyAlignment="1">
      <alignment horizontal="center"/>
    </xf>
    <xf numFmtId="0" fontId="2" fillId="7" borderId="0" xfId="2" applyFill="1" applyAlignment="1">
      <alignment horizontal="center"/>
    </xf>
    <xf numFmtId="1" fontId="3" fillId="7" borderId="0" xfId="2" applyNumberFormat="1" applyFont="1" applyFill="1" applyAlignment="1">
      <alignment horizontal="center"/>
    </xf>
    <xf numFmtId="2" fontId="3" fillId="7" borderId="24" xfId="2" applyNumberFormat="1" applyFont="1" applyFill="1" applyBorder="1" applyAlignment="1">
      <alignment horizontal="center"/>
    </xf>
    <xf numFmtId="1" fontId="10" fillId="3" borderId="15" xfId="0" applyNumberFormat="1" applyFont="1" applyFill="1" applyBorder="1" applyAlignment="1">
      <alignment horizontal="right"/>
    </xf>
    <xf numFmtId="164" fontId="12" fillId="4" borderId="15" xfId="0" applyNumberFormat="1" applyFont="1" applyFill="1" applyBorder="1" applyAlignment="1">
      <alignment horizontal="left"/>
    </xf>
    <xf numFmtId="1" fontId="10" fillId="4" borderId="13" xfId="0" applyNumberFormat="1" applyFont="1" applyFill="1" applyBorder="1" applyAlignment="1">
      <alignment horizontal="right"/>
    </xf>
    <xf numFmtId="1" fontId="10" fillId="2" borderId="13" xfId="0" applyNumberFormat="1" applyFont="1" applyFill="1" applyBorder="1" applyAlignment="1">
      <alignment horizontal="right"/>
    </xf>
    <xf numFmtId="1" fontId="8" fillId="8" borderId="28" xfId="1" applyNumberFormat="1" applyFont="1" applyFill="1" applyBorder="1" applyAlignment="1" applyProtection="1">
      <alignment horizontal="center" vertical="center"/>
      <protection locked="0"/>
    </xf>
    <xf numFmtId="0" fontId="10" fillId="2" borderId="38" xfId="1" applyFont="1" applyFill="1" applyBorder="1" applyAlignment="1">
      <alignment horizontal="center"/>
    </xf>
    <xf numFmtId="1" fontId="6" fillId="5" borderId="39" xfId="1" applyNumberFormat="1" applyFont="1" applyFill="1" applyBorder="1" applyAlignment="1" applyProtection="1">
      <alignment horizontal="center"/>
      <protection locked="0"/>
    </xf>
    <xf numFmtId="1" fontId="6" fillId="5" borderId="40" xfId="1" applyNumberFormat="1" applyFont="1" applyFill="1" applyBorder="1" applyAlignment="1" applyProtection="1">
      <alignment horizontal="center"/>
      <protection locked="0"/>
    </xf>
    <xf numFmtId="1" fontId="6" fillId="5" borderId="41" xfId="1" applyNumberFormat="1" applyFont="1" applyFill="1" applyBorder="1" applyAlignment="1" applyProtection="1">
      <alignment horizontal="center"/>
      <protection locked="0"/>
    </xf>
    <xf numFmtId="1" fontId="6" fillId="5" borderId="42" xfId="1" applyNumberFormat="1" applyFont="1" applyFill="1" applyBorder="1" applyAlignment="1" applyProtection="1">
      <alignment horizontal="center"/>
      <protection locked="0"/>
    </xf>
    <xf numFmtId="1" fontId="6" fillId="5" borderId="18" xfId="1" applyNumberFormat="1" applyFont="1" applyFill="1" applyBorder="1" applyAlignment="1" applyProtection="1">
      <alignment horizontal="center"/>
      <protection locked="0"/>
    </xf>
    <xf numFmtId="1" fontId="6" fillId="5" borderId="43" xfId="1" applyNumberFormat="1" applyFont="1" applyFill="1" applyBorder="1" applyAlignment="1" applyProtection="1">
      <alignment horizontal="center"/>
      <protection locked="0"/>
    </xf>
    <xf numFmtId="1" fontId="6" fillId="5" borderId="44" xfId="1" applyNumberFormat="1" applyFont="1" applyFill="1" applyBorder="1" applyAlignment="1" applyProtection="1">
      <alignment horizontal="center"/>
      <protection locked="0"/>
    </xf>
    <xf numFmtId="1" fontId="6" fillId="5" borderId="45" xfId="1" applyNumberFormat="1" applyFont="1" applyFill="1" applyBorder="1" applyAlignment="1" applyProtection="1">
      <alignment horizontal="center"/>
      <protection locked="0"/>
    </xf>
    <xf numFmtId="1" fontId="6" fillId="5" borderId="46" xfId="1" applyNumberFormat="1" applyFont="1" applyFill="1" applyBorder="1" applyAlignment="1" applyProtection="1">
      <alignment horizontal="center"/>
      <protection locked="0"/>
    </xf>
    <xf numFmtId="165" fontId="6" fillId="5" borderId="40" xfId="1" applyNumberFormat="1" applyFont="1" applyFill="1" applyBorder="1" applyAlignment="1" applyProtection="1">
      <alignment horizontal="center"/>
      <protection locked="0"/>
    </xf>
    <xf numFmtId="165" fontId="6" fillId="5" borderId="41" xfId="1" applyNumberFormat="1" applyFont="1" applyFill="1" applyBorder="1" applyAlignment="1" applyProtection="1">
      <alignment horizontal="center"/>
      <protection locked="0"/>
    </xf>
    <xf numFmtId="165" fontId="6" fillId="5" borderId="18" xfId="1" applyNumberFormat="1" applyFont="1" applyFill="1" applyBorder="1" applyAlignment="1" applyProtection="1">
      <alignment horizontal="center"/>
      <protection locked="0"/>
    </xf>
    <xf numFmtId="165" fontId="6" fillId="5" borderId="43" xfId="1" applyNumberFormat="1" applyFont="1" applyFill="1" applyBorder="1" applyAlignment="1" applyProtection="1">
      <alignment horizontal="center"/>
      <protection locked="0"/>
    </xf>
    <xf numFmtId="165" fontId="6" fillId="5" borderId="45" xfId="1" applyNumberFormat="1" applyFont="1" applyFill="1" applyBorder="1" applyAlignment="1" applyProtection="1">
      <alignment horizontal="center"/>
      <protection locked="0"/>
    </xf>
    <xf numFmtId="165" fontId="6" fillId="5" borderId="46" xfId="1" applyNumberFormat="1" applyFont="1" applyFill="1" applyBorder="1" applyAlignment="1" applyProtection="1">
      <alignment horizontal="center"/>
      <protection locked="0"/>
    </xf>
    <xf numFmtId="1" fontId="10" fillId="2" borderId="13" xfId="1" applyNumberFormat="1" applyFont="1" applyFill="1" applyBorder="1" applyAlignment="1">
      <alignment horizontal="right" vertical="center"/>
    </xf>
    <xf numFmtId="1" fontId="10" fillId="2" borderId="20" xfId="1" applyNumberFormat="1" applyFont="1" applyFill="1" applyBorder="1" applyAlignment="1">
      <alignment horizontal="right" vertical="center"/>
    </xf>
    <xf numFmtId="1" fontId="6" fillId="2" borderId="56" xfId="1" applyNumberFormat="1" applyFont="1" applyFill="1" applyBorder="1" applyAlignment="1">
      <alignment horizontal="right" vertical="center"/>
    </xf>
    <xf numFmtId="1" fontId="6" fillId="2" borderId="20" xfId="1" applyNumberFormat="1" applyFont="1" applyFill="1" applyBorder="1" applyAlignment="1">
      <alignment horizontal="right" vertical="center"/>
    </xf>
    <xf numFmtId="165" fontId="6" fillId="2" borderId="57" xfId="1" applyNumberFormat="1" applyFont="1" applyFill="1" applyBorder="1" applyAlignment="1">
      <alignment horizontal="right" vertical="center"/>
    </xf>
    <xf numFmtId="165" fontId="6" fillId="2" borderId="20" xfId="1" applyNumberFormat="1" applyFont="1" applyFill="1" applyBorder="1" applyAlignment="1">
      <alignment horizontal="right" vertical="center"/>
    </xf>
    <xf numFmtId="0" fontId="23" fillId="2" borderId="4" xfId="1" applyFont="1" applyFill="1" applyBorder="1" applyAlignment="1">
      <alignment vertical="center"/>
    </xf>
    <xf numFmtId="0" fontId="6" fillId="2" borderId="0" xfId="1" applyFont="1" applyFill="1" applyAlignment="1">
      <alignment vertical="center"/>
    </xf>
    <xf numFmtId="0" fontId="6" fillId="2" borderId="3" xfId="1" applyFont="1" applyFill="1" applyBorder="1" applyAlignment="1">
      <alignment horizontal="right" vertical="center"/>
    </xf>
    <xf numFmtId="164" fontId="15" fillId="2" borderId="58" xfId="1" applyNumberFormat="1" applyFill="1" applyBorder="1"/>
    <xf numFmtId="165" fontId="15" fillId="2" borderId="59" xfId="1" applyNumberFormat="1" applyFill="1" applyBorder="1"/>
    <xf numFmtId="165" fontId="15" fillId="2" borderId="4" xfId="1" applyNumberFormat="1" applyFill="1" applyBorder="1"/>
    <xf numFmtId="0" fontId="16" fillId="2" borderId="0" xfId="1" applyFont="1" applyFill="1" applyAlignment="1">
      <alignment horizontal="left" vertical="center"/>
    </xf>
    <xf numFmtId="164" fontId="62" fillId="2" borderId="0" xfId="0" applyNumberFormat="1" applyFont="1" applyFill="1" applyAlignment="1">
      <alignment horizontal="right"/>
    </xf>
    <xf numFmtId="164" fontId="34" fillId="2" borderId="0" xfId="0" applyNumberFormat="1" applyFont="1" applyFill="1" applyAlignment="1">
      <alignment horizontal="right"/>
    </xf>
    <xf numFmtId="0" fontId="16" fillId="2" borderId="1" xfId="1" applyFont="1" applyFill="1" applyBorder="1" applyAlignment="1">
      <alignment vertical="center"/>
    </xf>
    <xf numFmtId="0" fontId="67" fillId="2" borderId="6" xfId="1" applyFont="1" applyFill="1" applyBorder="1" applyAlignment="1">
      <alignment vertical="center"/>
    </xf>
    <xf numFmtId="164" fontId="63" fillId="2" borderId="11" xfId="1" applyNumberFormat="1" applyFont="1" applyFill="1" applyBorder="1" applyAlignment="1">
      <alignment horizontal="right" vertical="center"/>
    </xf>
    <xf numFmtId="1" fontId="63" fillId="2" borderId="13" xfId="1" applyNumberFormat="1" applyFont="1" applyFill="1" applyBorder="1" applyAlignment="1">
      <alignment horizontal="right" vertical="center"/>
    </xf>
    <xf numFmtId="1" fontId="63" fillId="2" borderId="15" xfId="1" applyNumberFormat="1" applyFont="1" applyFill="1" applyBorder="1" applyAlignment="1">
      <alignment horizontal="right" vertical="center"/>
    </xf>
    <xf numFmtId="1" fontId="16" fillId="2" borderId="11" xfId="1" applyNumberFormat="1" applyFont="1" applyFill="1" applyBorder="1" applyAlignment="1">
      <alignment horizontal="right" vertical="center"/>
    </xf>
    <xf numFmtId="1" fontId="16" fillId="2" borderId="15" xfId="1" applyNumberFormat="1" applyFont="1" applyFill="1" applyBorder="1" applyAlignment="1">
      <alignment horizontal="right" vertical="center"/>
    </xf>
    <xf numFmtId="165" fontId="16" fillId="2" borderId="13" xfId="1" applyNumberFormat="1" applyFont="1" applyFill="1" applyBorder="1" applyAlignment="1">
      <alignment horizontal="right" vertical="center"/>
    </xf>
    <xf numFmtId="165" fontId="16" fillId="2" borderId="15" xfId="1" applyNumberFormat="1" applyFont="1" applyFill="1" applyBorder="1" applyAlignment="1">
      <alignment horizontal="right" vertical="center"/>
    </xf>
    <xf numFmtId="2" fontId="16" fillId="2" borderId="15" xfId="1" applyNumberFormat="1" applyFont="1" applyFill="1" applyBorder="1" applyAlignment="1">
      <alignment horizontal="right" vertical="center"/>
    </xf>
    <xf numFmtId="2" fontId="16" fillId="2" borderId="13" xfId="1" applyNumberFormat="1" applyFont="1" applyFill="1" applyBorder="1" applyAlignment="1">
      <alignment horizontal="right" vertical="center"/>
    </xf>
    <xf numFmtId="164" fontId="16" fillId="2" borderId="18" xfId="1" applyNumberFormat="1" applyFont="1" applyFill="1" applyBorder="1" applyAlignment="1">
      <alignment horizontal="right" vertical="center"/>
    </xf>
    <xf numFmtId="164" fontId="63" fillId="2" borderId="0" xfId="1" applyNumberFormat="1" applyFont="1" applyFill="1" applyAlignment="1">
      <alignment horizontal="right" vertical="center"/>
    </xf>
    <xf numFmtId="165" fontId="16" fillId="2" borderId="11" xfId="1" applyNumberFormat="1" applyFont="1" applyFill="1" applyBorder="1" applyAlignment="1">
      <alignment horizontal="right" vertical="center"/>
    </xf>
    <xf numFmtId="164" fontId="16" fillId="2" borderId="15" xfId="1" applyNumberFormat="1" applyFont="1" applyFill="1" applyBorder="1" applyAlignment="1">
      <alignment horizontal="right" vertical="center"/>
    </xf>
    <xf numFmtId="1" fontId="16" fillId="2" borderId="13" xfId="1" applyNumberFormat="1" applyFont="1" applyFill="1" applyBorder="1" applyAlignment="1">
      <alignment horizontal="right" vertical="center"/>
    </xf>
    <xf numFmtId="165" fontId="16" fillId="2" borderId="18" xfId="1" applyNumberFormat="1" applyFont="1" applyFill="1" applyBorder="1" applyAlignment="1">
      <alignment horizontal="right" vertical="center"/>
    </xf>
    <xf numFmtId="0" fontId="59" fillId="2" borderId="0" xfId="1" applyFont="1" applyFill="1" applyAlignment="1">
      <alignment horizontal="right"/>
    </xf>
    <xf numFmtId="0" fontId="69" fillId="2" borderId="0" xfId="1" applyFont="1" applyFill="1" applyAlignment="1">
      <alignment horizontal="right"/>
    </xf>
    <xf numFmtId="1" fontId="6" fillId="4" borderId="11" xfId="0" applyNumberFormat="1" applyFont="1" applyFill="1" applyBorder="1" applyAlignment="1">
      <alignment horizontal="right"/>
    </xf>
    <xf numFmtId="1" fontId="6" fillId="4" borderId="15" xfId="0" applyNumberFormat="1" applyFont="1" applyFill="1" applyBorder="1" applyAlignment="1">
      <alignment horizontal="right"/>
    </xf>
    <xf numFmtId="165" fontId="6" fillId="4" borderId="13" xfId="0" applyNumberFormat="1" applyFont="1" applyFill="1" applyBorder="1" applyAlignment="1">
      <alignment horizontal="right"/>
    </xf>
    <xf numFmtId="165" fontId="6" fillId="4" borderId="15" xfId="0" applyNumberFormat="1" applyFont="1" applyFill="1" applyBorder="1" applyAlignment="1">
      <alignment horizontal="right"/>
    </xf>
    <xf numFmtId="164" fontId="6" fillId="4" borderId="18" xfId="0" applyNumberFormat="1" applyFont="1" applyFill="1" applyBorder="1" applyAlignment="1">
      <alignment horizontal="right"/>
    </xf>
    <xf numFmtId="164" fontId="6" fillId="4" borderId="15" xfId="0" applyNumberFormat="1" applyFont="1" applyFill="1" applyBorder="1" applyAlignment="1">
      <alignment horizontal="right"/>
    </xf>
    <xf numFmtId="165" fontId="6" fillId="2" borderId="5" xfId="1" applyNumberFormat="1" applyFont="1" applyFill="1" applyBorder="1" applyAlignment="1">
      <alignment horizontal="center" vertical="center"/>
    </xf>
    <xf numFmtId="165" fontId="6" fillId="2" borderId="5" xfId="1" applyNumberFormat="1" applyFont="1" applyFill="1" applyBorder="1" applyAlignment="1">
      <alignment horizontal="center"/>
    </xf>
    <xf numFmtId="165" fontId="6" fillId="2" borderId="29" xfId="1" applyNumberFormat="1" applyFont="1" applyFill="1" applyBorder="1" applyAlignment="1">
      <alignment horizontal="center" vertical="center"/>
    </xf>
    <xf numFmtId="165" fontId="6" fillId="2" borderId="29" xfId="1" applyNumberFormat="1" applyFont="1" applyFill="1" applyBorder="1" applyAlignment="1">
      <alignment horizontal="center"/>
    </xf>
    <xf numFmtId="165" fontId="6" fillId="2" borderId="31" xfId="1" applyNumberFormat="1" applyFont="1" applyFill="1" applyBorder="1" applyAlignment="1">
      <alignment horizontal="center" vertical="center"/>
    </xf>
    <xf numFmtId="165" fontId="6" fillId="2" borderId="33" xfId="1" applyNumberFormat="1" applyFont="1" applyFill="1" applyBorder="1" applyAlignment="1">
      <alignment horizontal="center" vertical="center"/>
    </xf>
    <xf numFmtId="165" fontId="6" fillId="2" borderId="34" xfId="1" applyNumberFormat="1" applyFont="1" applyFill="1" applyBorder="1" applyAlignment="1">
      <alignment horizontal="center" vertical="center"/>
    </xf>
    <xf numFmtId="165" fontId="6" fillId="2" borderId="34" xfId="1" applyNumberFormat="1" applyFont="1" applyFill="1" applyBorder="1" applyAlignment="1">
      <alignment horizontal="center"/>
    </xf>
    <xf numFmtId="165" fontId="6" fillId="2" borderId="26" xfId="1" applyNumberFormat="1" applyFont="1" applyFill="1" applyBorder="1" applyAlignment="1">
      <alignment horizontal="center" vertical="center"/>
    </xf>
    <xf numFmtId="165" fontId="6" fillId="2" borderId="25" xfId="1" applyNumberFormat="1" applyFont="1" applyFill="1" applyBorder="1" applyAlignment="1">
      <alignment horizontal="center" vertical="center"/>
    </xf>
    <xf numFmtId="165" fontId="6" fillId="2" borderId="23" xfId="1" applyNumberFormat="1" applyFont="1" applyFill="1" applyBorder="1" applyAlignment="1">
      <alignment horizontal="center" vertical="center"/>
    </xf>
    <xf numFmtId="1" fontId="24" fillId="3" borderId="21" xfId="1" applyNumberFormat="1" applyFont="1" applyFill="1" applyBorder="1" applyAlignment="1">
      <alignment horizontal="center" vertical="center"/>
    </xf>
    <xf numFmtId="164" fontId="4" fillId="2" borderId="0" xfId="0" applyNumberFormat="1" applyFont="1" applyFill="1" applyAlignment="1">
      <alignment horizontal="right"/>
    </xf>
    <xf numFmtId="164" fontId="5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left"/>
    </xf>
    <xf numFmtId="164" fontId="8" fillId="2" borderId="0" xfId="0" applyNumberFormat="1" applyFont="1" applyFill="1" applyAlignment="1">
      <alignment horizontal="center"/>
    </xf>
    <xf numFmtId="0" fontId="24" fillId="2" borderId="6" xfId="0" applyFont="1" applyFill="1" applyBorder="1" applyAlignment="1">
      <alignment horizontal="left" vertical="center"/>
    </xf>
    <xf numFmtId="0" fontId="15" fillId="2" borderId="7" xfId="0" applyFont="1" applyFill="1" applyBorder="1" applyAlignment="1">
      <alignment horizontal="right" vertical="center"/>
    </xf>
    <xf numFmtId="0" fontId="15" fillId="2" borderId="8" xfId="0" applyFont="1" applyFill="1" applyBorder="1" applyAlignment="1">
      <alignment horizontal="right" vertical="center"/>
    </xf>
    <xf numFmtId="0" fontId="16" fillId="2" borderId="7" xfId="1" applyFont="1" applyFill="1" applyBorder="1" applyAlignment="1">
      <alignment horizontal="right" vertical="center"/>
    </xf>
    <xf numFmtId="0" fontId="70" fillId="2" borderId="0" xfId="1" applyFont="1" applyFill="1" applyAlignment="1">
      <alignment horizontal="right"/>
    </xf>
    <xf numFmtId="0" fontId="70" fillId="2" borderId="7" xfId="1" applyFont="1" applyFill="1" applyBorder="1" applyAlignment="1">
      <alignment horizontal="right"/>
    </xf>
    <xf numFmtId="0" fontId="70" fillId="3" borderId="0" xfId="1" applyFont="1" applyFill="1" applyAlignment="1">
      <alignment horizontal="right"/>
    </xf>
    <xf numFmtId="49" fontId="6" fillId="2" borderId="5" xfId="1" applyNumberFormat="1" applyFont="1" applyFill="1" applyBorder="1" applyAlignment="1">
      <alignment horizontal="center"/>
    </xf>
    <xf numFmtId="0" fontId="1" fillId="0" borderId="0" xfId="2" applyFont="1" applyAlignment="1">
      <alignment horizontal="right"/>
    </xf>
    <xf numFmtId="165" fontId="2" fillId="0" borderId="0" xfId="2" applyNumberFormat="1" applyAlignment="1">
      <alignment horizontal="right"/>
    </xf>
    <xf numFmtId="165" fontId="3" fillId="7" borderId="28" xfId="2" applyNumberFormat="1" applyFont="1" applyFill="1" applyBorder="1" applyAlignment="1">
      <alignment horizontal="center"/>
    </xf>
    <xf numFmtId="165" fontId="3" fillId="7" borderId="28" xfId="2" applyNumberFormat="1" applyFont="1" applyFill="1" applyBorder="1" applyAlignment="1">
      <alignment horizontal="right"/>
    </xf>
    <xf numFmtId="0" fontId="6" fillId="7" borderId="0" xfId="1" applyFont="1" applyFill="1" applyAlignment="1">
      <alignment horizontal="right" vertical="center"/>
    </xf>
    <xf numFmtId="0" fontId="1" fillId="0" borderId="0" xfId="2" applyFont="1" applyAlignment="1">
      <alignment horizontal="center" vertical="center"/>
    </xf>
    <xf numFmtId="1" fontId="6" fillId="2" borderId="4" xfId="1" applyNumberFormat="1" applyFont="1" applyFill="1" applyBorder="1" applyAlignment="1">
      <alignment horizontal="center"/>
    </xf>
    <xf numFmtId="0" fontId="71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right" vertical="center"/>
    </xf>
    <xf numFmtId="0" fontId="72" fillId="2" borderId="6" xfId="0" applyFont="1" applyFill="1" applyBorder="1" applyAlignment="1">
      <alignment horizontal="left" vertical="center"/>
    </xf>
    <xf numFmtId="0" fontId="71" fillId="2" borderId="7" xfId="1" applyFont="1" applyFill="1" applyBorder="1" applyAlignment="1">
      <alignment horizontal="left" vertical="center"/>
    </xf>
    <xf numFmtId="0" fontId="23" fillId="0" borderId="6" xfId="0" applyFont="1" applyBorder="1"/>
    <xf numFmtId="0" fontId="6" fillId="2" borderId="7" xfId="0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right" vertical="center"/>
    </xf>
    <xf numFmtId="1" fontId="16" fillId="2" borderId="4" xfId="1" applyNumberFormat="1" applyFont="1" applyFill="1" applyBorder="1" applyAlignment="1">
      <alignment horizontal="center" vertical="center"/>
    </xf>
    <xf numFmtId="1" fontId="16" fillId="2" borderId="29" xfId="1" applyNumberFormat="1" applyFont="1" applyFill="1" applyBorder="1" applyAlignment="1">
      <alignment horizontal="center" vertical="center"/>
    </xf>
    <xf numFmtId="165" fontId="16" fillId="2" borderId="5" xfId="1" applyNumberFormat="1" applyFont="1" applyFill="1" applyBorder="1" applyAlignment="1">
      <alignment horizontal="center" vertical="center"/>
    </xf>
    <xf numFmtId="165" fontId="16" fillId="2" borderId="29" xfId="1" applyNumberFormat="1" applyFont="1" applyFill="1" applyBorder="1" applyAlignment="1">
      <alignment horizontal="center" vertical="center"/>
    </xf>
    <xf numFmtId="1" fontId="16" fillId="2" borderId="15" xfId="1" applyNumberFormat="1" applyFont="1" applyFill="1" applyBorder="1" applyAlignment="1">
      <alignment horizontal="center" vertical="center"/>
    </xf>
    <xf numFmtId="165" fontId="16" fillId="2" borderId="15" xfId="1" applyNumberFormat="1" applyFont="1" applyFill="1" applyBorder="1" applyAlignment="1">
      <alignment horizontal="center" vertical="center"/>
    </xf>
    <xf numFmtId="1" fontId="16" fillId="2" borderId="30" xfId="1" applyNumberFormat="1" applyFont="1" applyFill="1" applyBorder="1" applyAlignment="1">
      <alignment horizontal="center" vertical="center"/>
    </xf>
    <xf numFmtId="165" fontId="16" fillId="2" borderId="34" xfId="1" applyNumberFormat="1" applyFont="1" applyFill="1" applyBorder="1" applyAlignment="1">
      <alignment horizontal="center" vertical="center"/>
    </xf>
    <xf numFmtId="1" fontId="16" fillId="2" borderId="6" xfId="1" applyNumberFormat="1" applyFont="1" applyFill="1" applyBorder="1" applyAlignment="1">
      <alignment horizontal="center" vertical="center"/>
    </xf>
    <xf numFmtId="1" fontId="16" fillId="2" borderId="35" xfId="1" applyNumberFormat="1" applyFont="1" applyFill="1" applyBorder="1" applyAlignment="1">
      <alignment horizontal="center" vertical="center"/>
    </xf>
    <xf numFmtId="165" fontId="16" fillId="2" borderId="8" xfId="1" applyNumberFormat="1" applyFont="1" applyFill="1" applyBorder="1" applyAlignment="1">
      <alignment horizontal="center" vertical="center"/>
    </xf>
    <xf numFmtId="165" fontId="16" fillId="2" borderId="35" xfId="1" applyNumberFormat="1" applyFont="1" applyFill="1" applyBorder="1" applyAlignment="1">
      <alignment horizontal="center" vertical="center"/>
    </xf>
    <xf numFmtId="1" fontId="16" fillId="2" borderId="36" xfId="1" applyNumberFormat="1" applyFont="1" applyFill="1" applyBorder="1" applyAlignment="1">
      <alignment horizontal="center" vertical="center"/>
    </xf>
    <xf numFmtId="165" fontId="16" fillId="2" borderId="36" xfId="1" applyNumberFormat="1" applyFont="1" applyFill="1" applyBorder="1" applyAlignment="1">
      <alignment horizontal="center" vertical="center"/>
    </xf>
    <xf numFmtId="1" fontId="16" fillId="2" borderId="37" xfId="1" applyNumberFormat="1" applyFont="1" applyFill="1" applyBorder="1" applyAlignment="1">
      <alignment horizontal="center" vertical="center"/>
    </xf>
    <xf numFmtId="165" fontId="16" fillId="2" borderId="24" xfId="1" applyNumberFormat="1" applyFont="1" applyFill="1" applyBorder="1" applyAlignment="1">
      <alignment horizontal="center" vertical="center"/>
    </xf>
    <xf numFmtId="1" fontId="16" fillId="2" borderId="4" xfId="1" applyNumberFormat="1" applyFont="1" applyFill="1" applyBorder="1" applyAlignment="1">
      <alignment horizontal="center"/>
    </xf>
    <xf numFmtId="1" fontId="16" fillId="2" borderId="29" xfId="1" applyNumberFormat="1" applyFont="1" applyFill="1" applyBorder="1" applyAlignment="1">
      <alignment horizontal="center"/>
    </xf>
    <xf numFmtId="165" fontId="16" fillId="2" borderId="5" xfId="1" applyNumberFormat="1" applyFont="1" applyFill="1" applyBorder="1" applyAlignment="1">
      <alignment horizontal="center"/>
    </xf>
    <xf numFmtId="165" fontId="16" fillId="2" borderId="29" xfId="1" applyNumberFormat="1" applyFont="1" applyFill="1" applyBorder="1" applyAlignment="1">
      <alignment horizontal="center"/>
    </xf>
    <xf numFmtId="1" fontId="16" fillId="2" borderId="15" xfId="1" applyNumberFormat="1" applyFont="1" applyFill="1" applyBorder="1" applyAlignment="1">
      <alignment horizontal="center"/>
    </xf>
    <xf numFmtId="165" fontId="16" fillId="2" borderId="15" xfId="1" applyNumberFormat="1" applyFont="1" applyFill="1" applyBorder="1" applyAlignment="1">
      <alignment horizontal="center"/>
    </xf>
    <xf numFmtId="165" fontId="16" fillId="2" borderId="34" xfId="1" applyNumberFormat="1" applyFont="1" applyFill="1" applyBorder="1" applyAlignment="1">
      <alignment horizontal="center"/>
    </xf>
    <xf numFmtId="1" fontId="16" fillId="2" borderId="6" xfId="1" applyNumberFormat="1" applyFont="1" applyFill="1" applyBorder="1" applyAlignment="1">
      <alignment horizontal="center"/>
    </xf>
    <xf numFmtId="1" fontId="16" fillId="2" borderId="35" xfId="1" applyNumberFormat="1" applyFont="1" applyFill="1" applyBorder="1" applyAlignment="1">
      <alignment horizontal="center"/>
    </xf>
    <xf numFmtId="165" fontId="16" fillId="2" borderId="8" xfId="1" applyNumberFormat="1" applyFont="1" applyFill="1" applyBorder="1" applyAlignment="1">
      <alignment horizontal="center"/>
    </xf>
    <xf numFmtId="165" fontId="16" fillId="2" borderId="35" xfId="1" applyNumberFormat="1" applyFont="1" applyFill="1" applyBorder="1" applyAlignment="1">
      <alignment horizontal="center"/>
    </xf>
    <xf numFmtId="1" fontId="16" fillId="2" borderId="36" xfId="1" applyNumberFormat="1" applyFont="1" applyFill="1" applyBorder="1" applyAlignment="1">
      <alignment horizontal="center"/>
    </xf>
    <xf numFmtId="165" fontId="16" fillId="2" borderId="36" xfId="1" applyNumberFormat="1" applyFont="1" applyFill="1" applyBorder="1" applyAlignment="1">
      <alignment horizontal="center"/>
    </xf>
    <xf numFmtId="165" fontId="16" fillId="2" borderId="24" xfId="1" applyNumberFormat="1" applyFont="1" applyFill="1" applyBorder="1" applyAlignment="1">
      <alignment horizontal="center"/>
    </xf>
    <xf numFmtId="1" fontId="6" fillId="0" borderId="29" xfId="1" applyNumberFormat="1" applyFont="1" applyBorder="1" applyAlignment="1">
      <alignment horizontal="center" vertical="center"/>
    </xf>
    <xf numFmtId="165" fontId="6" fillId="0" borderId="5" xfId="1" applyNumberFormat="1" applyFont="1" applyBorder="1" applyAlignment="1">
      <alignment horizontal="center" vertical="center"/>
    </xf>
    <xf numFmtId="165" fontId="6" fillId="0" borderId="29" xfId="1" applyNumberFormat="1" applyFont="1" applyBorder="1" applyAlignment="1">
      <alignment horizontal="center" vertical="center"/>
    </xf>
    <xf numFmtId="1" fontId="6" fillId="0" borderId="15" xfId="1" applyNumberFormat="1" applyFont="1" applyBorder="1" applyAlignment="1">
      <alignment horizontal="center" vertical="center"/>
    </xf>
    <xf numFmtId="165" fontId="6" fillId="0" borderId="15" xfId="1" applyNumberFormat="1" applyFont="1" applyBorder="1" applyAlignment="1">
      <alignment horizontal="center" vertical="center"/>
    </xf>
    <xf numFmtId="1" fontId="6" fillId="0" borderId="30" xfId="1" applyNumberFormat="1" applyFont="1" applyBorder="1" applyAlignment="1">
      <alignment horizontal="center" vertical="center"/>
    </xf>
    <xf numFmtId="165" fontId="6" fillId="0" borderId="34" xfId="1" applyNumberFormat="1" applyFont="1" applyBorder="1" applyAlignment="1">
      <alignment horizontal="center" vertical="center"/>
    </xf>
    <xf numFmtId="0" fontId="16" fillId="3" borderId="0" xfId="1" applyFont="1" applyFill="1" applyAlignment="1">
      <alignment horizontal="right"/>
    </xf>
    <xf numFmtId="0" fontId="34" fillId="3" borderId="0" xfId="1" applyFont="1" applyFill="1" applyAlignment="1">
      <alignment horizontal="right"/>
    </xf>
    <xf numFmtId="0" fontId="16" fillId="3" borderId="0" xfId="1" applyFont="1" applyFill="1" applyAlignment="1">
      <alignment horizontal="right" vertical="center"/>
    </xf>
    <xf numFmtId="2" fontId="16" fillId="3" borderId="0" xfId="1" applyNumberFormat="1" applyFont="1" applyFill="1" applyAlignment="1">
      <alignment vertical="center"/>
    </xf>
    <xf numFmtId="165" fontId="16" fillId="3" borderId="0" xfId="1" applyNumberFormat="1" applyFont="1" applyFill="1" applyAlignment="1">
      <alignment vertical="center"/>
    </xf>
    <xf numFmtId="2" fontId="16" fillId="3" borderId="0" xfId="1" applyNumberFormat="1" applyFont="1" applyFill="1"/>
    <xf numFmtId="165" fontId="16" fillId="3" borderId="0" xfId="1" applyNumberFormat="1" applyFont="1" applyFill="1"/>
    <xf numFmtId="0" fontId="16" fillId="3" borderId="0" xfId="1" applyFont="1" applyFill="1" applyAlignment="1">
      <alignment horizontal="center" vertical="center" wrapText="1"/>
    </xf>
    <xf numFmtId="2" fontId="16" fillId="3" borderId="0" xfId="1" applyNumberFormat="1" applyFont="1" applyFill="1" applyAlignment="1">
      <alignment horizontal="center" vertical="center" wrapText="1"/>
    </xf>
    <xf numFmtId="165" fontId="16" fillId="3" borderId="0" xfId="1" applyNumberFormat="1" applyFont="1" applyFill="1" applyAlignment="1">
      <alignment horizontal="center" vertical="center" wrapText="1"/>
    </xf>
    <xf numFmtId="0" fontId="16" fillId="3" borderId="7" xfId="1" applyFont="1" applyFill="1" applyBorder="1" applyAlignment="1">
      <alignment horizontal="right" vertical="center"/>
    </xf>
    <xf numFmtId="0" fontId="34" fillId="3" borderId="0" xfId="1" applyFont="1" applyFill="1" applyAlignment="1">
      <alignment horizontal="right" vertical="center"/>
    </xf>
    <xf numFmtId="1" fontId="16" fillId="3" borderId="0" xfId="1" applyNumberFormat="1" applyFont="1" applyFill="1" applyAlignment="1">
      <alignment horizontal="center" vertical="center"/>
    </xf>
    <xf numFmtId="0" fontId="16" fillId="3" borderId="0" xfId="1" applyFont="1" applyFill="1" applyAlignment="1">
      <alignment horizontal="center" vertical="center"/>
    </xf>
    <xf numFmtId="0" fontId="16" fillId="3" borderId="0" xfId="0" applyFont="1" applyFill="1" applyAlignment="1">
      <alignment horizontal="right" vertical="center"/>
    </xf>
    <xf numFmtId="0" fontId="16" fillId="3" borderId="0" xfId="1" applyFont="1" applyFill="1" applyAlignment="1" applyProtection="1">
      <alignment horizontal="center" vertical="center"/>
      <protection locked="0"/>
    </xf>
    <xf numFmtId="0" fontId="16" fillId="3" borderId="0" xfId="1" applyFont="1" applyFill="1" applyAlignment="1" applyProtection="1">
      <alignment vertical="center"/>
      <protection locked="0"/>
    </xf>
    <xf numFmtId="0" fontId="16" fillId="3" borderId="0" xfId="0" applyFont="1" applyFill="1" applyAlignment="1">
      <alignment horizontal="center" vertical="center"/>
    </xf>
    <xf numFmtId="0" fontId="16" fillId="3" borderId="0" xfId="1" applyFont="1" applyFill="1" applyAlignment="1">
      <alignment horizontal="right" wrapText="1"/>
    </xf>
    <xf numFmtId="1" fontId="16" fillId="3" borderId="0" xfId="1" applyNumberFormat="1" applyFont="1" applyFill="1" applyAlignment="1">
      <alignment horizontal="right" wrapText="1"/>
    </xf>
    <xf numFmtId="169" fontId="16" fillId="3" borderId="0" xfId="1" applyNumberFormat="1" applyFont="1" applyFill="1" applyAlignment="1">
      <alignment horizontal="right" wrapText="1"/>
    </xf>
    <xf numFmtId="2" fontId="16" fillId="3" borderId="0" xfId="1" applyNumberFormat="1" applyFont="1" applyFill="1" applyAlignment="1">
      <alignment horizontal="right" vertical="center"/>
    </xf>
    <xf numFmtId="165" fontId="16" fillId="3" borderId="0" xfId="1" applyNumberFormat="1" applyFont="1" applyFill="1" applyAlignment="1">
      <alignment horizontal="right" vertical="center"/>
    </xf>
    <xf numFmtId="1" fontId="16" fillId="3" borderId="0" xfId="1" applyNumberFormat="1" applyFont="1" applyFill="1" applyAlignment="1">
      <alignment horizontal="right" vertical="center"/>
    </xf>
    <xf numFmtId="1" fontId="16" fillId="3" borderId="0" xfId="1" applyNumberFormat="1" applyFont="1" applyFill="1" applyAlignment="1">
      <alignment horizontal="right"/>
    </xf>
    <xf numFmtId="165" fontId="16" fillId="3" borderId="0" xfId="1" applyNumberFormat="1" applyFont="1" applyFill="1" applyAlignment="1">
      <alignment horizontal="right"/>
    </xf>
    <xf numFmtId="0" fontId="16" fillId="3" borderId="0" xfId="1" applyFont="1" applyFill="1" applyAlignment="1">
      <alignment horizontal="left" vertical="center"/>
    </xf>
    <xf numFmtId="164" fontId="16" fillId="3" borderId="0" xfId="1" applyNumberFormat="1" applyFont="1" applyFill="1" applyAlignment="1">
      <alignment horizontal="right" vertical="center"/>
    </xf>
    <xf numFmtId="0" fontId="16" fillId="3" borderId="0" xfId="1" applyFont="1" applyFill="1"/>
    <xf numFmtId="1" fontId="63" fillId="3" borderId="0" xfId="1" applyNumberFormat="1" applyFont="1" applyFill="1" applyAlignment="1">
      <alignment horizontal="center" vertical="center"/>
    </xf>
    <xf numFmtId="2" fontId="16" fillId="3" borderId="0" xfId="1" applyNumberFormat="1" applyFont="1" applyFill="1" applyAlignment="1">
      <alignment horizontal="center"/>
    </xf>
    <xf numFmtId="1" fontId="16" fillId="3" borderId="0" xfId="1" applyNumberFormat="1" applyFont="1" applyFill="1" applyAlignment="1">
      <alignment horizontal="center"/>
    </xf>
    <xf numFmtId="0" fontId="16" fillId="3" borderId="0" xfId="1" applyFont="1" applyFill="1" applyAlignment="1">
      <alignment horizontal="left"/>
    </xf>
    <xf numFmtId="165" fontId="63" fillId="3" borderId="0" xfId="1" applyNumberFormat="1" applyFont="1" applyFill="1" applyAlignment="1">
      <alignment horizontal="center" vertical="center"/>
    </xf>
    <xf numFmtId="165" fontId="16" fillId="3" borderId="0" xfId="1" applyNumberFormat="1" applyFont="1" applyFill="1" applyAlignment="1">
      <alignment horizontal="center" vertical="center"/>
    </xf>
    <xf numFmtId="165" fontId="63" fillId="3" borderId="0" xfId="1" applyNumberFormat="1" applyFont="1" applyFill="1" applyAlignment="1">
      <alignment horizontal="left"/>
    </xf>
    <xf numFmtId="165" fontId="16" fillId="3" borderId="0" xfId="1" applyNumberFormat="1" applyFont="1" applyFill="1" applyAlignment="1">
      <alignment horizontal="center"/>
    </xf>
    <xf numFmtId="0" fontId="16" fillId="3" borderId="0" xfId="1" applyFont="1" applyFill="1" applyAlignment="1">
      <alignment horizontal="center"/>
    </xf>
    <xf numFmtId="169" fontId="16" fillId="3" borderId="0" xfId="1" applyNumberFormat="1" applyFont="1" applyFill="1" applyAlignment="1">
      <alignment horizontal="center"/>
    </xf>
    <xf numFmtId="0" fontId="16" fillId="3" borderId="4" xfId="1" applyFont="1" applyFill="1" applyBorder="1" applyAlignment="1">
      <alignment horizontal="right" wrapText="1"/>
    </xf>
    <xf numFmtId="1" fontId="13" fillId="3" borderId="0" xfId="1" applyNumberFormat="1" applyFont="1" applyFill="1" applyAlignment="1">
      <alignment horizontal="center"/>
    </xf>
    <xf numFmtId="0" fontId="13" fillId="3" borderId="0" xfId="1" applyFont="1" applyFill="1" applyAlignment="1">
      <alignment horizontal="left"/>
    </xf>
    <xf numFmtId="165" fontId="73" fillId="3" borderId="0" xfId="1" applyNumberFormat="1" applyFont="1" applyFill="1" applyAlignment="1">
      <alignment horizontal="left"/>
    </xf>
    <xf numFmtId="165" fontId="13" fillId="3" borderId="0" xfId="1" applyNumberFormat="1" applyFont="1" applyFill="1" applyAlignment="1">
      <alignment horizontal="center"/>
    </xf>
    <xf numFmtId="2" fontId="13" fillId="3" borderId="0" xfId="1" applyNumberFormat="1" applyFont="1" applyFill="1" applyAlignment="1">
      <alignment horizontal="center"/>
    </xf>
    <xf numFmtId="0" fontId="13" fillId="3" borderId="0" xfId="1" applyFont="1" applyFill="1" applyAlignment="1">
      <alignment horizontal="right"/>
    </xf>
    <xf numFmtId="2" fontId="13" fillId="3" borderId="0" xfId="1" applyNumberFormat="1" applyFont="1" applyFill="1"/>
    <xf numFmtId="2" fontId="13" fillId="3" borderId="0" xfId="1" applyNumberFormat="1" applyFont="1" applyFill="1" applyAlignment="1">
      <alignment horizontal="center" vertical="center" wrapText="1"/>
    </xf>
    <xf numFmtId="0" fontId="13" fillId="3" borderId="0" xfId="1" applyFont="1" applyFill="1"/>
    <xf numFmtId="165" fontId="73" fillId="3" borderId="0" xfId="1" applyNumberFormat="1" applyFont="1" applyFill="1" applyAlignment="1">
      <alignment horizontal="center" vertical="center"/>
    </xf>
    <xf numFmtId="165" fontId="13" fillId="3" borderId="0" xfId="1" applyNumberFormat="1" applyFont="1" applyFill="1" applyAlignment="1">
      <alignment horizontal="right"/>
    </xf>
    <xf numFmtId="2" fontId="16" fillId="2" borderId="4" xfId="1" applyNumberFormat="1" applyFont="1" applyFill="1" applyBorder="1" applyAlignment="1">
      <alignment horizontal="right" vertical="center"/>
    </xf>
    <xf numFmtId="2" fontId="16" fillId="2" borderId="0" xfId="1" applyNumberFormat="1" applyFont="1" applyFill="1" applyAlignment="1">
      <alignment horizontal="right" vertical="center"/>
    </xf>
    <xf numFmtId="165" fontId="16" fillId="2" borderId="0" xfId="1" applyNumberFormat="1" applyFont="1" applyFill="1" applyAlignment="1">
      <alignment horizontal="right" vertical="center"/>
    </xf>
    <xf numFmtId="1" fontId="16" fillId="2" borderId="0" xfId="1" applyNumberFormat="1" applyFont="1" applyFill="1" applyAlignment="1">
      <alignment horizontal="right" vertical="center"/>
    </xf>
    <xf numFmtId="1" fontId="16" fillId="2" borderId="0" xfId="1" applyNumberFormat="1" applyFont="1" applyFill="1" applyAlignment="1">
      <alignment horizontal="right"/>
    </xf>
    <xf numFmtId="0" fontId="16" fillId="2" borderId="0" xfId="1" applyFont="1" applyFill="1" applyAlignment="1">
      <alignment horizontal="center" vertical="center" wrapText="1"/>
    </xf>
    <xf numFmtId="1" fontId="63" fillId="2" borderId="0" xfId="1" applyNumberFormat="1" applyFont="1" applyFill="1" applyAlignment="1">
      <alignment horizontal="right" vertical="center"/>
    </xf>
    <xf numFmtId="165" fontId="34" fillId="2" borderId="0" xfId="1" applyNumberFormat="1" applyFont="1" applyFill="1"/>
    <xf numFmtId="1" fontId="6" fillId="2" borderId="4" xfId="1" applyNumberFormat="1" applyFont="1" applyFill="1" applyBorder="1" applyAlignment="1">
      <alignment horizontal="center" vertical="center"/>
    </xf>
    <xf numFmtId="1" fontId="6" fillId="0" borderId="4" xfId="1" applyNumberFormat="1" applyFont="1" applyBorder="1" applyAlignment="1">
      <alignment horizontal="center" vertical="center"/>
    </xf>
    <xf numFmtId="0" fontId="16" fillId="2" borderId="2" xfId="1" applyFont="1" applyFill="1" applyBorder="1" applyAlignment="1">
      <alignment vertical="center"/>
    </xf>
    <xf numFmtId="0" fontId="71" fillId="2" borderId="2" xfId="1" applyFont="1" applyFill="1" applyBorder="1" applyAlignment="1">
      <alignment horizontal="left" vertical="center"/>
    </xf>
    <xf numFmtId="0" fontId="71" fillId="2" borderId="3" xfId="1" applyFont="1" applyFill="1" applyBorder="1" applyAlignment="1">
      <alignment horizontal="left" vertical="center"/>
    </xf>
    <xf numFmtId="0" fontId="67" fillId="2" borderId="7" xfId="1" applyFont="1" applyFill="1" applyBorder="1" applyAlignment="1">
      <alignment vertical="center"/>
    </xf>
    <xf numFmtId="0" fontId="71" fillId="2" borderId="8" xfId="1" applyFont="1" applyFill="1" applyBorder="1" applyAlignment="1">
      <alignment horizontal="left" vertical="center"/>
    </xf>
    <xf numFmtId="165" fontId="51" fillId="6" borderId="49" xfId="1" applyNumberFormat="1" applyFont="1" applyFill="1" applyBorder="1" applyAlignment="1">
      <alignment horizontal="center" vertical="center"/>
    </xf>
    <xf numFmtId="165" fontId="51" fillId="6" borderId="50" xfId="1" applyNumberFormat="1" applyFont="1" applyFill="1" applyBorder="1" applyAlignment="1">
      <alignment horizontal="center" vertical="center"/>
    </xf>
    <xf numFmtId="165" fontId="51" fillId="6" borderId="52" xfId="1" applyNumberFormat="1" applyFont="1" applyFill="1" applyBorder="1" applyAlignment="1">
      <alignment horizontal="center" vertical="center"/>
    </xf>
    <xf numFmtId="165" fontId="41" fillId="6" borderId="50" xfId="0" applyNumberFormat="1" applyFont="1" applyFill="1" applyBorder="1" applyAlignment="1">
      <alignment horizontal="center" vertical="center"/>
    </xf>
    <xf numFmtId="165" fontId="41" fillId="6" borderId="54" xfId="0" applyNumberFormat="1" applyFont="1" applyFill="1" applyBorder="1" applyAlignment="1">
      <alignment horizontal="center" vertical="center"/>
    </xf>
    <xf numFmtId="1" fontId="41" fillId="6" borderId="53" xfId="0" applyNumberFormat="1" applyFont="1" applyFill="1" applyBorder="1" applyAlignment="1">
      <alignment horizontal="center" vertical="center"/>
    </xf>
    <xf numFmtId="0" fontId="41" fillId="6" borderId="50" xfId="0" applyFont="1" applyFill="1" applyBorder="1" applyAlignment="1">
      <alignment horizontal="center" vertical="center"/>
    </xf>
    <xf numFmtId="1" fontId="40" fillId="6" borderId="49" xfId="0" applyNumberFormat="1" applyFont="1" applyFill="1" applyBorder="1" applyAlignment="1">
      <alignment horizontal="center" vertical="center"/>
    </xf>
    <xf numFmtId="1" fontId="40" fillId="6" borderId="50" xfId="0" applyNumberFormat="1" applyFont="1" applyFill="1" applyBorder="1" applyAlignment="1">
      <alignment horizontal="center" vertical="center"/>
    </xf>
    <xf numFmtId="1" fontId="40" fillId="6" borderId="52" xfId="0" applyNumberFormat="1" applyFont="1" applyFill="1" applyBorder="1" applyAlignment="1">
      <alignment horizontal="center" vertical="center"/>
    </xf>
    <xf numFmtId="165" fontId="41" fillId="6" borderId="53" xfId="0" applyNumberFormat="1" applyFont="1" applyFill="1" applyBorder="1" applyAlignment="1">
      <alignment horizontal="center" vertical="center"/>
    </xf>
    <xf numFmtId="0" fontId="40" fillId="6" borderId="49" xfId="0" applyFont="1" applyFill="1" applyBorder="1" applyAlignment="1">
      <alignment horizontal="center" vertical="center"/>
    </xf>
    <xf numFmtId="0" fontId="40" fillId="6" borderId="50" xfId="0" applyFont="1" applyFill="1" applyBorder="1" applyAlignment="1">
      <alignment horizontal="center" vertical="center"/>
    </xf>
    <xf numFmtId="0" fontId="40" fillId="6" borderId="52" xfId="0" applyFont="1" applyFill="1" applyBorder="1" applyAlignment="1">
      <alignment horizontal="center" vertical="center"/>
    </xf>
    <xf numFmtId="165" fontId="19" fillId="2" borderId="4" xfId="1" applyNumberFormat="1" applyFont="1" applyFill="1" applyBorder="1" applyAlignment="1">
      <alignment horizontal="center"/>
    </xf>
    <xf numFmtId="165" fontId="19" fillId="2" borderId="0" xfId="1" applyNumberFormat="1" applyFont="1" applyFill="1" applyAlignment="1">
      <alignment horizontal="center"/>
    </xf>
    <xf numFmtId="165" fontId="19" fillId="2" borderId="5" xfId="1" applyNumberFormat="1" applyFont="1" applyFill="1" applyBorder="1" applyAlignment="1">
      <alignment horizontal="center"/>
    </xf>
    <xf numFmtId="14" fontId="6" fillId="2" borderId="0" xfId="1" applyNumberFormat="1" applyFont="1" applyFill="1" applyAlignment="1">
      <alignment horizontal="center"/>
    </xf>
    <xf numFmtId="14" fontId="6" fillId="2" borderId="5" xfId="1" applyNumberFormat="1" applyFont="1" applyFill="1" applyBorder="1" applyAlignment="1">
      <alignment horizontal="center"/>
    </xf>
    <xf numFmtId="1" fontId="41" fillId="6" borderId="50" xfId="0" applyNumberFormat="1" applyFont="1" applyFill="1" applyBorder="1" applyAlignment="1">
      <alignment horizontal="center" vertical="center"/>
    </xf>
    <xf numFmtId="0" fontId="41" fillId="6" borderId="54" xfId="0" applyFont="1" applyFill="1" applyBorder="1" applyAlignment="1">
      <alignment horizontal="center" vertical="center"/>
    </xf>
    <xf numFmtId="0" fontId="41" fillId="6" borderId="53" xfId="0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/>
    </xf>
    <xf numFmtId="0" fontId="6" fillId="2" borderId="8" xfId="1" applyFont="1" applyFill="1" applyBorder="1" applyAlignment="1">
      <alignment horizontal="center"/>
    </xf>
    <xf numFmtId="165" fontId="37" fillId="6" borderId="49" xfId="0" applyNumberFormat="1" applyFont="1" applyFill="1" applyBorder="1" applyAlignment="1">
      <alignment horizontal="left" vertical="center"/>
    </xf>
    <xf numFmtId="0" fontId="37" fillId="6" borderId="50" xfId="0" applyFont="1" applyFill="1" applyBorder="1" applyAlignment="1">
      <alignment horizontal="left" vertical="center"/>
    </xf>
    <xf numFmtId="0" fontId="39" fillId="6" borderId="50" xfId="0" applyFont="1" applyFill="1" applyBorder="1" applyAlignment="1">
      <alignment horizontal="center" vertical="center"/>
    </xf>
    <xf numFmtId="0" fontId="39" fillId="6" borderId="52" xfId="0" applyFont="1" applyFill="1" applyBorder="1" applyAlignment="1">
      <alignment horizontal="center" vertical="center"/>
    </xf>
    <xf numFmtId="0" fontId="39" fillId="6" borderId="53" xfId="0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165" fontId="5" fillId="2" borderId="4" xfId="1" applyNumberFormat="1" applyFont="1" applyFill="1" applyBorder="1" applyAlignment="1">
      <alignment horizontal="center"/>
    </xf>
    <xf numFmtId="165" fontId="5" fillId="2" borderId="0" xfId="1" applyNumberFormat="1" applyFont="1" applyFill="1" applyAlignment="1">
      <alignment horizontal="center"/>
    </xf>
    <xf numFmtId="165" fontId="5" fillId="2" borderId="5" xfId="1" applyNumberFormat="1" applyFont="1" applyFill="1" applyBorder="1" applyAlignment="1">
      <alignment horizontal="center"/>
    </xf>
    <xf numFmtId="0" fontId="6" fillId="2" borderId="0" xfId="1" applyFont="1" applyFill="1" applyAlignment="1">
      <alignment horizontal="center"/>
    </xf>
    <xf numFmtId="0" fontId="6" fillId="2" borderId="5" xfId="1" applyFont="1" applyFill="1" applyBorder="1" applyAlignment="1">
      <alignment horizontal="center"/>
    </xf>
    <xf numFmtId="165" fontId="18" fillId="2" borderId="4" xfId="1" applyNumberFormat="1" applyFont="1" applyFill="1" applyBorder="1" applyAlignment="1">
      <alignment horizontal="center"/>
    </xf>
    <xf numFmtId="165" fontId="18" fillId="2" borderId="0" xfId="1" applyNumberFormat="1" applyFont="1" applyFill="1" applyAlignment="1">
      <alignment horizontal="center"/>
    </xf>
    <xf numFmtId="165" fontId="18" fillId="2" borderId="5" xfId="1" applyNumberFormat="1" applyFont="1" applyFill="1" applyBorder="1" applyAlignment="1">
      <alignment horizontal="center"/>
    </xf>
    <xf numFmtId="16" fontId="6" fillId="2" borderId="0" xfId="1" applyNumberFormat="1" applyFont="1" applyFill="1" applyAlignment="1">
      <alignment horizontal="center"/>
    </xf>
    <xf numFmtId="0" fontId="8" fillId="2" borderId="4" xfId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168" fontId="5" fillId="3" borderId="2" xfId="1" applyNumberFormat="1" applyFont="1" applyFill="1" applyBorder="1" applyAlignment="1">
      <alignment horizontal="center" vertical="center"/>
    </xf>
    <xf numFmtId="168" fontId="5" fillId="3" borderId="3" xfId="1" applyNumberFormat="1" applyFont="1" applyFill="1" applyBorder="1" applyAlignment="1">
      <alignment horizontal="center" vertical="center"/>
    </xf>
    <xf numFmtId="168" fontId="5" fillId="3" borderId="7" xfId="1" applyNumberFormat="1" applyFont="1" applyFill="1" applyBorder="1" applyAlignment="1">
      <alignment horizontal="center" vertical="center"/>
    </xf>
    <xf numFmtId="168" fontId="5" fillId="3" borderId="8" xfId="1" applyNumberFormat="1" applyFont="1" applyFill="1" applyBorder="1" applyAlignment="1">
      <alignment horizontal="center" vertical="center"/>
    </xf>
    <xf numFmtId="0" fontId="16" fillId="3" borderId="0" xfId="1" applyFont="1" applyFill="1" applyAlignment="1">
      <alignment horizontal="center" vertical="center"/>
    </xf>
    <xf numFmtId="0" fontId="23" fillId="3" borderId="6" xfId="1" applyFont="1" applyFill="1" applyBorder="1" applyAlignment="1">
      <alignment horizontal="center" vertical="center"/>
    </xf>
    <xf numFmtId="0" fontId="23" fillId="3" borderId="7" xfId="1" applyFont="1" applyFill="1" applyBorder="1" applyAlignment="1">
      <alignment horizontal="center" vertical="center"/>
    </xf>
    <xf numFmtId="0" fontId="67" fillId="3" borderId="0" xfId="1" applyFont="1" applyFill="1" applyAlignment="1">
      <alignment horizontal="center" vertical="center"/>
    </xf>
    <xf numFmtId="0" fontId="18" fillId="2" borderId="1" xfId="1" applyFont="1" applyFill="1" applyBorder="1" applyAlignment="1">
      <alignment horizontal="right" vertical="center"/>
    </xf>
    <xf numFmtId="0" fontId="18" fillId="2" borderId="2" xfId="1" applyFont="1" applyFill="1" applyBorder="1" applyAlignment="1">
      <alignment horizontal="right" vertical="center"/>
    </xf>
    <xf numFmtId="0" fontId="18" fillId="2" borderId="6" xfId="1" applyFont="1" applyFill="1" applyBorder="1" applyAlignment="1">
      <alignment horizontal="right" vertical="center"/>
    </xf>
    <xf numFmtId="0" fontId="18" fillId="2" borderId="7" xfId="1" applyFont="1" applyFill="1" applyBorder="1" applyAlignment="1">
      <alignment horizontal="right" vertical="center"/>
    </xf>
    <xf numFmtId="0" fontId="18" fillId="2" borderId="2" xfId="1" applyFont="1" applyFill="1" applyBorder="1" applyAlignment="1">
      <alignment horizontal="left" vertical="center"/>
    </xf>
    <xf numFmtId="0" fontId="18" fillId="2" borderId="7" xfId="1" applyFont="1" applyFill="1" applyBorder="1" applyAlignment="1">
      <alignment horizontal="left" vertical="center"/>
    </xf>
    <xf numFmtId="9" fontId="18" fillId="2" borderId="2" xfId="1" applyNumberFormat="1" applyFont="1" applyFill="1" applyBorder="1" applyAlignment="1">
      <alignment horizontal="left" vertical="center"/>
    </xf>
    <xf numFmtId="9" fontId="18" fillId="2" borderId="7" xfId="1" applyNumberFormat="1" applyFont="1" applyFill="1" applyBorder="1" applyAlignment="1">
      <alignment horizontal="left" vertical="center"/>
    </xf>
    <xf numFmtId="0" fontId="8" fillId="2" borderId="1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/>
    </xf>
    <xf numFmtId="0" fontId="28" fillId="3" borderId="2" xfId="1" applyFont="1" applyFill="1" applyBorder="1" applyAlignment="1">
      <alignment horizontal="center" vertical="center"/>
    </xf>
    <xf numFmtId="0" fontId="28" fillId="3" borderId="7" xfId="1" applyFont="1" applyFill="1" applyBorder="1" applyAlignment="1">
      <alignment horizontal="center" vertical="center"/>
    </xf>
    <xf numFmtId="168" fontId="5" fillId="5" borderId="2" xfId="1" applyNumberFormat="1" applyFont="1" applyFill="1" applyBorder="1" applyAlignment="1" applyProtection="1">
      <alignment horizontal="center" vertical="center"/>
      <protection locked="0"/>
    </xf>
    <xf numFmtId="168" fontId="5" fillId="5" borderId="3" xfId="1" applyNumberFormat="1" applyFont="1" applyFill="1" applyBorder="1" applyAlignment="1" applyProtection="1">
      <alignment horizontal="center" vertical="center"/>
      <protection locked="0"/>
    </xf>
    <xf numFmtId="168" fontId="5" fillId="5" borderId="7" xfId="1" applyNumberFormat="1" applyFont="1" applyFill="1" applyBorder="1" applyAlignment="1" applyProtection="1">
      <alignment horizontal="center" vertical="center"/>
      <protection locked="0"/>
    </xf>
    <xf numFmtId="168" fontId="5" fillId="5" borderId="8" xfId="1" applyNumberFormat="1" applyFont="1" applyFill="1" applyBorder="1" applyAlignment="1" applyProtection="1">
      <alignment horizontal="center" vertical="center"/>
      <protection locked="0"/>
    </xf>
    <xf numFmtId="0" fontId="23" fillId="5" borderId="6" xfId="1" applyFont="1" applyFill="1" applyBorder="1" applyAlignment="1">
      <alignment horizontal="center" vertical="center"/>
    </xf>
    <xf numFmtId="0" fontId="23" fillId="5" borderId="7" xfId="1" applyFont="1" applyFill="1" applyBorder="1" applyAlignment="1">
      <alignment horizontal="center" vertical="center"/>
    </xf>
    <xf numFmtId="0" fontId="6" fillId="5" borderId="1" xfId="1" applyFont="1" applyFill="1" applyBorder="1" applyAlignment="1">
      <alignment horizontal="center" vertical="center"/>
    </xf>
    <xf numFmtId="0" fontId="6" fillId="5" borderId="2" xfId="1" applyFont="1" applyFill="1" applyBorder="1" applyAlignment="1">
      <alignment horizontal="center" vertical="center"/>
    </xf>
    <xf numFmtId="0" fontId="28" fillId="5" borderId="2" xfId="1" applyFont="1" applyFill="1" applyBorder="1" applyAlignment="1">
      <alignment horizontal="center" vertical="center"/>
    </xf>
    <xf numFmtId="0" fontId="28" fillId="5" borderId="7" xfId="1" applyFont="1" applyFill="1" applyBorder="1" applyAlignment="1">
      <alignment horizontal="center" vertical="center"/>
    </xf>
    <xf numFmtId="0" fontId="18" fillId="5" borderId="1" xfId="1" applyFont="1" applyFill="1" applyBorder="1" applyAlignment="1">
      <alignment horizontal="right" vertical="center"/>
    </xf>
    <xf numFmtId="0" fontId="18" fillId="5" borderId="2" xfId="1" applyFont="1" applyFill="1" applyBorder="1" applyAlignment="1">
      <alignment horizontal="right" vertical="center"/>
    </xf>
    <xf numFmtId="0" fontId="18" fillId="5" borderId="6" xfId="1" applyFont="1" applyFill="1" applyBorder="1" applyAlignment="1">
      <alignment horizontal="right" vertical="center"/>
    </xf>
    <xf numFmtId="0" fontId="18" fillId="5" borderId="7" xfId="1" applyFont="1" applyFill="1" applyBorder="1" applyAlignment="1">
      <alignment horizontal="right" vertical="center"/>
    </xf>
    <xf numFmtId="9" fontId="18" fillId="5" borderId="2" xfId="1" applyNumberFormat="1" applyFont="1" applyFill="1" applyBorder="1" applyAlignment="1" applyProtection="1">
      <alignment horizontal="left" vertical="center"/>
      <protection locked="0"/>
    </xf>
    <xf numFmtId="9" fontId="18" fillId="5" borderId="7" xfId="1" applyNumberFormat="1" applyFont="1" applyFill="1" applyBorder="1" applyAlignment="1" applyProtection="1">
      <alignment horizontal="left" vertical="center"/>
      <protection locked="0"/>
    </xf>
    <xf numFmtId="0" fontId="24" fillId="2" borderId="0" xfId="1" applyFont="1" applyFill="1" applyAlignment="1">
      <alignment horizontal="center" vertical="center"/>
    </xf>
    <xf numFmtId="0" fontId="24" fillId="2" borderId="5" xfId="1" applyFont="1" applyFill="1" applyBorder="1" applyAlignment="1">
      <alignment horizontal="center" vertical="center"/>
    </xf>
    <xf numFmtId="1" fontId="18" fillId="2" borderId="3" xfId="1" applyNumberFormat="1" applyFont="1" applyFill="1" applyBorder="1" applyAlignment="1">
      <alignment horizontal="center" vertical="center"/>
    </xf>
    <xf numFmtId="1" fontId="18" fillId="2" borderId="8" xfId="1" applyNumberFormat="1" applyFont="1" applyFill="1" applyBorder="1" applyAlignment="1">
      <alignment horizontal="center" vertical="center"/>
    </xf>
    <xf numFmtId="0" fontId="18" fillId="2" borderId="3" xfId="1" applyFont="1" applyFill="1" applyBorder="1" applyAlignment="1">
      <alignment horizontal="left" vertical="center"/>
    </xf>
    <xf numFmtId="0" fontId="18" fillId="2" borderId="8" xfId="1" applyFont="1" applyFill="1" applyBorder="1" applyAlignment="1">
      <alignment horizontal="left" vertical="center"/>
    </xf>
    <xf numFmtId="165" fontId="18" fillId="2" borderId="2" xfId="1" applyNumberFormat="1" applyFont="1" applyFill="1" applyBorder="1" applyAlignment="1">
      <alignment horizontal="left" vertical="center"/>
    </xf>
    <xf numFmtId="165" fontId="18" fillId="2" borderId="3" xfId="1" applyNumberFormat="1" applyFont="1" applyFill="1" applyBorder="1" applyAlignment="1">
      <alignment horizontal="left" vertical="center"/>
    </xf>
    <xf numFmtId="165" fontId="18" fillId="2" borderId="7" xfId="1" applyNumberFormat="1" applyFont="1" applyFill="1" applyBorder="1" applyAlignment="1">
      <alignment horizontal="left" vertical="center"/>
    </xf>
    <xf numFmtId="165" fontId="18" fillId="2" borderId="8" xfId="1" applyNumberFormat="1" applyFont="1" applyFill="1" applyBorder="1" applyAlignment="1">
      <alignment horizontal="left" vertical="center"/>
    </xf>
    <xf numFmtId="167" fontId="18" fillId="2" borderId="2" xfId="1" applyNumberFormat="1" applyFont="1" applyFill="1" applyBorder="1" applyAlignment="1">
      <alignment horizontal="center" vertical="center"/>
    </xf>
    <xf numFmtId="167" fontId="18" fillId="2" borderId="3" xfId="1" applyNumberFormat="1" applyFont="1" applyFill="1" applyBorder="1" applyAlignment="1">
      <alignment horizontal="center" vertical="center"/>
    </xf>
    <xf numFmtId="167" fontId="18" fillId="2" borderId="7" xfId="1" applyNumberFormat="1" applyFont="1" applyFill="1" applyBorder="1" applyAlignment="1">
      <alignment horizontal="center" vertical="center"/>
    </xf>
    <xf numFmtId="167" fontId="18" fillId="2" borderId="8" xfId="1" applyNumberFormat="1" applyFont="1" applyFill="1" applyBorder="1" applyAlignment="1">
      <alignment horizontal="center" vertical="center"/>
    </xf>
    <xf numFmtId="0" fontId="24" fillId="2" borderId="7" xfId="1" applyFont="1" applyFill="1" applyBorder="1" applyAlignment="1">
      <alignment horizontal="center" vertical="center"/>
    </xf>
    <xf numFmtId="0" fontId="24" fillId="2" borderId="8" xfId="1" applyFont="1" applyFill="1" applyBorder="1" applyAlignment="1">
      <alignment horizontal="center" vertical="center"/>
    </xf>
    <xf numFmtId="0" fontId="18" fillId="2" borderId="3" xfId="1" applyFont="1" applyFill="1" applyBorder="1" applyAlignment="1">
      <alignment horizontal="center" vertical="center"/>
    </xf>
    <xf numFmtId="0" fontId="18" fillId="2" borderId="8" xfId="1" applyFont="1" applyFill="1" applyBorder="1" applyAlignment="1">
      <alignment horizontal="center" vertical="center"/>
    </xf>
    <xf numFmtId="0" fontId="18" fillId="2" borderId="2" xfId="1" applyFont="1" applyFill="1" applyBorder="1" applyAlignment="1">
      <alignment horizontal="center" vertical="center"/>
    </xf>
    <xf numFmtId="0" fontId="18" fillId="2" borderId="7" xfId="1" applyFont="1" applyFill="1" applyBorder="1" applyAlignment="1">
      <alignment horizontal="center" vertical="center"/>
    </xf>
    <xf numFmtId="0" fontId="18" fillId="0" borderId="3" xfId="1" applyFont="1" applyBorder="1" applyAlignment="1">
      <alignment horizontal="center" vertical="center"/>
    </xf>
    <xf numFmtId="0" fontId="18" fillId="0" borderId="7" xfId="1" applyFont="1" applyBorder="1" applyAlignment="1">
      <alignment horizontal="center" vertical="center"/>
    </xf>
    <xf numFmtId="0" fontId="18" fillId="0" borderId="8" xfId="1" applyFont="1" applyBorder="1" applyAlignment="1">
      <alignment horizontal="center" vertical="center"/>
    </xf>
    <xf numFmtId="0" fontId="18" fillId="2" borderId="0" xfId="1" applyFont="1" applyFill="1" applyAlignment="1">
      <alignment horizontal="center" vertical="center"/>
    </xf>
    <xf numFmtId="0" fontId="18" fillId="2" borderId="5" xfId="1" applyFont="1" applyFill="1" applyBorder="1" applyAlignment="1">
      <alignment horizontal="center" vertical="center"/>
    </xf>
    <xf numFmtId="0" fontId="23" fillId="2" borderId="7" xfId="1" applyFont="1" applyFill="1" applyBorder="1" applyAlignment="1">
      <alignment horizontal="right" vertical="center"/>
    </xf>
    <xf numFmtId="172" fontId="18" fillId="2" borderId="2" xfId="0" applyNumberFormat="1" applyFont="1" applyFill="1" applyBorder="1" applyAlignment="1">
      <alignment horizontal="center" vertical="center"/>
    </xf>
    <xf numFmtId="172" fontId="18" fillId="2" borderId="3" xfId="0" applyNumberFormat="1" applyFont="1" applyFill="1" applyBorder="1" applyAlignment="1">
      <alignment horizontal="center" vertical="center"/>
    </xf>
    <xf numFmtId="172" fontId="18" fillId="2" borderId="7" xfId="0" applyNumberFormat="1" applyFont="1" applyFill="1" applyBorder="1" applyAlignment="1">
      <alignment horizontal="center" vertical="center"/>
    </xf>
    <xf numFmtId="172" fontId="18" fillId="2" borderId="8" xfId="0" applyNumberFormat="1" applyFont="1" applyFill="1" applyBorder="1" applyAlignment="1">
      <alignment horizontal="center" vertical="center"/>
    </xf>
    <xf numFmtId="173" fontId="18" fillId="2" borderId="2" xfId="0" applyNumberFormat="1" applyFont="1" applyFill="1" applyBorder="1" applyAlignment="1">
      <alignment horizontal="center" vertical="center"/>
    </xf>
    <xf numFmtId="173" fontId="18" fillId="2" borderId="3" xfId="0" applyNumberFormat="1" applyFont="1" applyFill="1" applyBorder="1" applyAlignment="1">
      <alignment horizontal="center" vertical="center"/>
    </xf>
    <xf numFmtId="173" fontId="18" fillId="2" borderId="7" xfId="0" applyNumberFormat="1" applyFont="1" applyFill="1" applyBorder="1" applyAlignment="1">
      <alignment horizontal="center" vertical="center"/>
    </xf>
    <xf numFmtId="173" fontId="18" fillId="2" borderId="8" xfId="0" applyNumberFormat="1" applyFont="1" applyFill="1" applyBorder="1" applyAlignment="1">
      <alignment horizontal="center" vertical="center"/>
    </xf>
    <xf numFmtId="165" fontId="23" fillId="2" borderId="6" xfId="1" applyNumberFormat="1" applyFont="1" applyFill="1" applyBorder="1" applyAlignment="1">
      <alignment horizontal="left" vertical="center"/>
    </xf>
    <xf numFmtId="165" fontId="23" fillId="2" borderId="7" xfId="1" applyNumberFormat="1" applyFont="1" applyFill="1" applyBorder="1" applyAlignment="1">
      <alignment horizontal="left" vertical="center"/>
    </xf>
    <xf numFmtId="0" fontId="68" fillId="2" borderId="3" xfId="1" applyFont="1" applyFill="1" applyBorder="1" applyAlignment="1">
      <alignment horizontal="center" vertical="center"/>
    </xf>
    <xf numFmtId="0" fontId="68" fillId="2" borderId="8" xfId="1" applyFont="1" applyFill="1" applyBorder="1" applyAlignment="1">
      <alignment horizontal="center" vertical="center"/>
    </xf>
    <xf numFmtId="165" fontId="5" fillId="2" borderId="4" xfId="1" applyNumberFormat="1" applyFont="1" applyFill="1" applyBorder="1" applyAlignment="1">
      <alignment horizontal="center" vertical="center"/>
    </xf>
    <xf numFmtId="165" fontId="5" fillId="2" borderId="0" xfId="1" applyNumberFormat="1" applyFont="1" applyFill="1" applyAlignment="1">
      <alignment horizontal="center" vertical="center"/>
    </xf>
    <xf numFmtId="165" fontId="5" fillId="2" borderId="5" xfId="1" applyNumberFormat="1" applyFont="1" applyFill="1" applyBorder="1" applyAlignment="1">
      <alignment horizontal="center" vertical="center"/>
    </xf>
    <xf numFmtId="49" fontId="6" fillId="2" borderId="0" xfId="1" applyNumberFormat="1" applyFont="1" applyFill="1" applyAlignment="1">
      <alignment horizontal="center"/>
    </xf>
    <xf numFmtId="49" fontId="6" fillId="2" borderId="5" xfId="1" applyNumberFormat="1" applyFont="1" applyFill="1" applyBorder="1" applyAlignment="1">
      <alignment horizontal="center"/>
    </xf>
    <xf numFmtId="0" fontId="68" fillId="2" borderId="3" xfId="1" applyFont="1" applyFill="1" applyBorder="1" applyAlignment="1">
      <alignment horizontal="left" vertical="center" wrapText="1"/>
    </xf>
    <xf numFmtId="0" fontId="68" fillId="2" borderId="8" xfId="1" applyFont="1" applyFill="1" applyBorder="1" applyAlignment="1">
      <alignment horizontal="left" vertical="center" wrapText="1"/>
    </xf>
    <xf numFmtId="0" fontId="26" fillId="2" borderId="4" xfId="1" applyFont="1" applyFill="1" applyBorder="1" applyAlignment="1">
      <alignment horizontal="left" vertical="center" wrapText="1"/>
    </xf>
    <xf numFmtId="0" fontId="26" fillId="2" borderId="0" xfId="1" applyFont="1" applyFill="1" applyAlignment="1">
      <alignment horizontal="left" vertical="center" wrapText="1"/>
    </xf>
    <xf numFmtId="0" fontId="26" fillId="2" borderId="5" xfId="1" applyFont="1" applyFill="1" applyBorder="1" applyAlignment="1">
      <alignment horizontal="left" vertical="center" wrapText="1"/>
    </xf>
    <xf numFmtId="0" fontId="26" fillId="2" borderId="6" xfId="1" applyFont="1" applyFill="1" applyBorder="1" applyAlignment="1">
      <alignment horizontal="left" vertical="center" wrapText="1"/>
    </xf>
    <xf numFmtId="0" fontId="26" fillId="2" borderId="7" xfId="1" applyFont="1" applyFill="1" applyBorder="1" applyAlignment="1">
      <alignment horizontal="left" vertical="center" wrapText="1"/>
    </xf>
    <xf numFmtId="0" fontId="26" fillId="2" borderId="8" xfId="1" applyFont="1" applyFill="1" applyBorder="1" applyAlignment="1">
      <alignment horizontal="left" vertical="center" wrapText="1"/>
    </xf>
    <xf numFmtId="165" fontId="18" fillId="2" borderId="2" xfId="0" applyNumberFormat="1" applyFont="1" applyFill="1" applyBorder="1" applyAlignment="1">
      <alignment horizontal="center" vertical="center"/>
    </xf>
    <xf numFmtId="165" fontId="18" fillId="2" borderId="3" xfId="0" applyNumberFormat="1" applyFont="1" applyFill="1" applyBorder="1" applyAlignment="1">
      <alignment horizontal="center" vertical="center"/>
    </xf>
    <xf numFmtId="165" fontId="18" fillId="2" borderId="7" xfId="0" applyNumberFormat="1" applyFont="1" applyFill="1" applyBorder="1" applyAlignment="1">
      <alignment horizontal="center" vertical="center"/>
    </xf>
    <xf numFmtId="165" fontId="18" fillId="2" borderId="8" xfId="0" applyNumberFormat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right" vertical="center"/>
    </xf>
    <xf numFmtId="0" fontId="10" fillId="2" borderId="1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10" fillId="2" borderId="5" xfId="1" applyFont="1" applyFill="1" applyBorder="1" applyAlignment="1">
      <alignment horizontal="center" vertical="center" wrapText="1"/>
    </xf>
    <xf numFmtId="0" fontId="2" fillId="0" borderId="0" xfId="2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chartsheet" Target="chartsheets/sheet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r>
              <a:rPr lang="es-ES" sz="1200" b="1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cs typeface="Arial"/>
              </a:rPr>
              <a:t>Curva de Potencia / </a:t>
            </a:r>
            <a:r>
              <a:rPr lang="es-ES" sz="1200" b="1" i="1" u="none" strike="noStrike" baseline="0">
                <a:solidFill>
                  <a:srgbClr val="000000"/>
                </a:solidFill>
                <a:latin typeface="Arial Narrow" panose="020B0606020202030204" pitchFamily="34" charset="0"/>
                <a:cs typeface="Arial"/>
              </a:rPr>
              <a:t>Power Diagram</a:t>
            </a:r>
            <a:endParaRPr lang="es-ES" sz="1200" b="1" i="0" u="none" strike="noStrike" baseline="0">
              <a:solidFill>
                <a:srgbClr val="000000"/>
              </a:solidFill>
              <a:latin typeface="Arial Narrow" panose="020B0606020202030204" pitchFamily="34" charset="0"/>
              <a:cs typeface="Arial"/>
            </a:endParaRPr>
          </a:p>
          <a:p>
            <a:pPr>
              <a:defRPr sz="12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es-ES" sz="1200" b="1" i="0" u="none" strike="noStrike" baseline="0">
              <a:solidFill>
                <a:srgbClr val="000000"/>
              </a:solidFill>
              <a:latin typeface="Arial Narrow" panose="020B0606020202030204" pitchFamily="34" charset="0"/>
              <a:cs typeface="Arial"/>
            </a:endParaRPr>
          </a:p>
        </c:rich>
      </c:tx>
      <c:layout>
        <c:manualLayout>
          <c:xMode val="edge"/>
          <c:yMode val="edge"/>
          <c:x val="0.36488244492352689"/>
          <c:y val="3.31997035402421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75637552452928"/>
          <c:y val="0.17787418655097623"/>
          <c:w val="0.86239611656260762"/>
          <c:h val="0.69465447392324364"/>
        </c:manualLayout>
      </c:layout>
      <c:scatterChart>
        <c:scatterStyle val="smoothMarker"/>
        <c:varyColors val="0"/>
        <c:ser>
          <c:idx val="4"/>
          <c:order val="0"/>
          <c:tx>
            <c:strRef>
              <c:f>'driving mode datasheet'!$W$99</c:f>
              <c:strCache>
                <c:ptCount val="1"/>
                <c:pt idx="0">
                  <c:v>KW limit</c:v>
                </c:pt>
              </c:strCache>
            </c:strRef>
          </c:tx>
          <c:spPr>
            <a:ln>
              <a:solidFill>
                <a:schemeClr val="bg1">
                  <a:lumMod val="6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'driving mode datasheet'!$V$100:$V$131</c:f>
              <c:numCache>
                <c:formatCode>0</c:formatCode>
                <c:ptCount val="32"/>
                <c:pt idx="0">
                  <c:v>10</c:v>
                </c:pt>
                <c:pt idx="1">
                  <c:v>2596.3797011253637</c:v>
                </c:pt>
                <c:pt idx="2">
                  <c:v>2596.3797011253637</c:v>
                </c:pt>
                <c:pt idx="3">
                  <c:v>2856.0176712379002</c:v>
                </c:pt>
                <c:pt idx="4">
                  <c:v>3141.6194383616903</c:v>
                </c:pt>
                <c:pt idx="5">
                  <c:v>3455.7813821978598</c:v>
                </c:pt>
                <c:pt idx="6">
                  <c:v>3801.3595204176459</c:v>
                </c:pt>
                <c:pt idx="7">
                  <c:v>4181.4954724594108</c:v>
                </c:pt>
                <c:pt idx="8">
                  <c:v>4599.6450197053528</c:v>
                </c:pt>
                <c:pt idx="9">
                  <c:v>5059.6095216758886</c:v>
                </c:pt>
                <c:pt idx="10">
                  <c:v>5565.5704738434779</c:v>
                </c:pt>
                <c:pt idx="11">
                  <c:v>6122.127521227826</c:v>
                </c:pt>
                <c:pt idx="12">
                  <c:v>6500</c:v>
                </c:pt>
                <c:pt idx="13">
                  <c:v>6500</c:v>
                </c:pt>
                <c:pt idx="14">
                  <c:v>6500</c:v>
                </c:pt>
                <c:pt idx="15">
                  <c:v>6500</c:v>
                </c:pt>
                <c:pt idx="16">
                  <c:v>6500</c:v>
                </c:pt>
                <c:pt idx="17">
                  <c:v>6500</c:v>
                </c:pt>
                <c:pt idx="18">
                  <c:v>6500</c:v>
                </c:pt>
                <c:pt idx="19">
                  <c:v>6500</c:v>
                </c:pt>
                <c:pt idx="20">
                  <c:v>6500</c:v>
                </c:pt>
                <c:pt idx="21">
                  <c:v>6500</c:v>
                </c:pt>
                <c:pt idx="22">
                  <c:v>6500</c:v>
                </c:pt>
                <c:pt idx="23">
                  <c:v>6500</c:v>
                </c:pt>
                <c:pt idx="24">
                  <c:v>6500</c:v>
                </c:pt>
                <c:pt idx="25">
                  <c:v>6500</c:v>
                </c:pt>
                <c:pt idx="26">
                  <c:v>6500</c:v>
                </c:pt>
                <c:pt idx="27">
                  <c:v>6500</c:v>
                </c:pt>
                <c:pt idx="28">
                  <c:v>6500</c:v>
                </c:pt>
                <c:pt idx="29">
                  <c:v>6500</c:v>
                </c:pt>
                <c:pt idx="30">
                  <c:v>6500</c:v>
                </c:pt>
                <c:pt idx="31">
                  <c:v>6500</c:v>
                </c:pt>
              </c:numCache>
            </c:numRef>
          </c:xVal>
          <c:yVal>
            <c:numRef>
              <c:f>'driving mode datasheet'!$W$100:$W$131</c:f>
              <c:numCache>
                <c:formatCode>0</c:formatCode>
                <c:ptCount val="32"/>
                <c:pt idx="0">
                  <c:v>2.1409263157993443</c:v>
                </c:pt>
                <c:pt idx="1">
                  <c:v>555.86576279465282</c:v>
                </c:pt>
                <c:pt idx="2">
                  <c:v>555.86576279465282</c:v>
                </c:pt>
                <c:pt idx="3">
                  <c:v>514.56690497128727</c:v>
                </c:pt>
                <c:pt idx="4">
                  <c:v>476.33640604259358</c:v>
                </c:pt>
                <c:pt idx="5">
                  <c:v>440.94629780793105</c:v>
                </c:pt>
                <c:pt idx="6">
                  <c:v>408.18554929671808</c:v>
                </c:pt>
                <c:pt idx="7">
                  <c:v>377.85880839221471</c:v>
                </c:pt>
                <c:pt idx="8">
                  <c:v>349.78523694820188</c:v>
                </c:pt>
                <c:pt idx="9">
                  <c:v>323.79743245236608</c:v>
                </c:pt>
                <c:pt idx="10">
                  <c:v>299.74042980627735</c:v>
                </c:pt>
                <c:pt idx="11">
                  <c:v>277.4707772695786</c:v>
                </c:pt>
                <c:pt idx="12">
                  <c:v>264.33115449325362</c:v>
                </c:pt>
                <c:pt idx="13">
                  <c:v>264.33115449325362</c:v>
                </c:pt>
                <c:pt idx="14">
                  <c:v>264.33115449325362</c:v>
                </c:pt>
                <c:pt idx="15">
                  <c:v>264.33115449325362</c:v>
                </c:pt>
                <c:pt idx="16">
                  <c:v>264.33115449325362</c:v>
                </c:pt>
                <c:pt idx="17">
                  <c:v>264.33115449325362</c:v>
                </c:pt>
                <c:pt idx="18">
                  <c:v>264.33115449325362</c:v>
                </c:pt>
                <c:pt idx="19">
                  <c:v>264.33115449325362</c:v>
                </c:pt>
                <c:pt idx="20">
                  <c:v>264.33115449325362</c:v>
                </c:pt>
                <c:pt idx="21">
                  <c:v>264.33115449325362</c:v>
                </c:pt>
                <c:pt idx="22">
                  <c:v>264.33115449325362</c:v>
                </c:pt>
                <c:pt idx="23">
                  <c:v>264.33115449325362</c:v>
                </c:pt>
                <c:pt idx="24">
                  <c:v>264.33115449325362</c:v>
                </c:pt>
                <c:pt idx="25">
                  <c:v>264.33115449325362</c:v>
                </c:pt>
                <c:pt idx="26">
                  <c:v>264.33115449325362</c:v>
                </c:pt>
                <c:pt idx="27">
                  <c:v>264.33115449325362</c:v>
                </c:pt>
                <c:pt idx="28">
                  <c:v>264.33115449325362</c:v>
                </c:pt>
                <c:pt idx="29">
                  <c:v>264.33115449325362</c:v>
                </c:pt>
                <c:pt idx="30">
                  <c:v>264.33115449325362</c:v>
                </c:pt>
                <c:pt idx="31">
                  <c:v>264.33115449325362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C39-4C02-874B-83E3B83E00D4}"/>
            </c:ext>
          </c:extLst>
        </c:ser>
        <c:ser>
          <c:idx val="1"/>
          <c:order val="1"/>
          <c:tx>
            <c:strRef>
              <c:f>'driving mode datasheet'!$T$99</c:f>
              <c:strCache>
                <c:ptCount val="1"/>
                <c:pt idx="0">
                  <c:v>kW S6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'driving mode datasheet'!$S$100:$S$131</c:f>
              <c:numCache>
                <c:formatCode>0</c:formatCode>
                <c:ptCount val="32"/>
                <c:pt idx="0">
                  <c:v>10</c:v>
                </c:pt>
                <c:pt idx="1">
                  <c:v>2976</c:v>
                </c:pt>
                <c:pt idx="2">
                  <c:v>2976</c:v>
                </c:pt>
                <c:pt idx="3">
                  <c:v>3328.4</c:v>
                </c:pt>
                <c:pt idx="4">
                  <c:v>3680.8</c:v>
                </c:pt>
                <c:pt idx="5">
                  <c:v>4033.2000000000003</c:v>
                </c:pt>
                <c:pt idx="6">
                  <c:v>4385.6000000000004</c:v>
                </c:pt>
                <c:pt idx="7">
                  <c:v>4738</c:v>
                </c:pt>
                <c:pt idx="8">
                  <c:v>5090.3999999999996</c:v>
                </c:pt>
                <c:pt idx="9">
                  <c:v>5442.7999999999993</c:v>
                </c:pt>
                <c:pt idx="10">
                  <c:v>5795.1999999999989</c:v>
                </c:pt>
                <c:pt idx="11">
                  <c:v>6147.5999999999985</c:v>
                </c:pt>
                <c:pt idx="12">
                  <c:v>6500</c:v>
                </c:pt>
                <c:pt idx="13">
                  <c:v>6500</c:v>
                </c:pt>
                <c:pt idx="14">
                  <c:v>6500</c:v>
                </c:pt>
                <c:pt idx="15">
                  <c:v>6500</c:v>
                </c:pt>
                <c:pt idx="16">
                  <c:v>6500</c:v>
                </c:pt>
                <c:pt idx="17">
                  <c:v>6500</c:v>
                </c:pt>
                <c:pt idx="18">
                  <c:v>6500</c:v>
                </c:pt>
                <c:pt idx="19">
                  <c:v>6500</c:v>
                </c:pt>
                <c:pt idx="20">
                  <c:v>6500</c:v>
                </c:pt>
                <c:pt idx="21">
                  <c:v>6500</c:v>
                </c:pt>
                <c:pt idx="22">
                  <c:v>6500</c:v>
                </c:pt>
                <c:pt idx="23">
                  <c:v>6500</c:v>
                </c:pt>
                <c:pt idx="24">
                  <c:v>6500</c:v>
                </c:pt>
                <c:pt idx="25">
                  <c:v>6500</c:v>
                </c:pt>
                <c:pt idx="26">
                  <c:v>6500</c:v>
                </c:pt>
                <c:pt idx="27">
                  <c:v>6500</c:v>
                </c:pt>
                <c:pt idx="28">
                  <c:v>6500</c:v>
                </c:pt>
                <c:pt idx="29">
                  <c:v>6500</c:v>
                </c:pt>
                <c:pt idx="30">
                  <c:v>6500</c:v>
                </c:pt>
                <c:pt idx="31">
                  <c:v>6500</c:v>
                </c:pt>
              </c:numCache>
            </c:numRef>
          </c:xVal>
          <c:yVal>
            <c:numRef>
              <c:f>'driving mode datasheet'!$T$100:$T$131</c:f>
              <c:numCache>
                <c:formatCode>0.0</c:formatCode>
                <c:ptCount val="32"/>
                <c:pt idx="0">
                  <c:v>0.74593291512877047</c:v>
                </c:pt>
                <c:pt idx="1">
                  <c:v>221.98963554232211</c:v>
                </c:pt>
                <c:pt idx="2">
                  <c:v>221.98963554232211</c:v>
                </c:pt>
                <c:pt idx="3">
                  <c:v>221.98963554232211</c:v>
                </c:pt>
                <c:pt idx="4">
                  <c:v>221.98963554232211</c:v>
                </c:pt>
                <c:pt idx="5">
                  <c:v>221.98963554232211</c:v>
                </c:pt>
                <c:pt idx="6">
                  <c:v>221.98963554232211</c:v>
                </c:pt>
                <c:pt idx="7">
                  <c:v>221.98963554232211</c:v>
                </c:pt>
                <c:pt idx="8">
                  <c:v>221.98963554232211</c:v>
                </c:pt>
                <c:pt idx="9">
                  <c:v>221.98963554232211</c:v>
                </c:pt>
                <c:pt idx="10">
                  <c:v>221.98963554232211</c:v>
                </c:pt>
                <c:pt idx="11">
                  <c:v>221.98963554232211</c:v>
                </c:pt>
                <c:pt idx="12">
                  <c:v>221.98963554232211</c:v>
                </c:pt>
                <c:pt idx="13">
                  <c:v>221.98963554232211</c:v>
                </c:pt>
                <c:pt idx="14">
                  <c:v>221.98963554232211</c:v>
                </c:pt>
                <c:pt idx="15">
                  <c:v>221.98963554232211</c:v>
                </c:pt>
                <c:pt idx="16">
                  <c:v>221.98963554232211</c:v>
                </c:pt>
                <c:pt idx="17">
                  <c:v>221.98963554232211</c:v>
                </c:pt>
                <c:pt idx="18">
                  <c:v>221.98963554232211</c:v>
                </c:pt>
                <c:pt idx="19">
                  <c:v>221.98963554232211</c:v>
                </c:pt>
                <c:pt idx="20">
                  <c:v>221.98963554232211</c:v>
                </c:pt>
                <c:pt idx="21">
                  <c:v>221.98963554232211</c:v>
                </c:pt>
                <c:pt idx="22">
                  <c:v>221.98963554232211</c:v>
                </c:pt>
                <c:pt idx="23">
                  <c:v>221.98963554232211</c:v>
                </c:pt>
                <c:pt idx="24">
                  <c:v>221.98963554232211</c:v>
                </c:pt>
                <c:pt idx="25">
                  <c:v>221.98963554232211</c:v>
                </c:pt>
                <c:pt idx="26">
                  <c:v>221.98963554232211</c:v>
                </c:pt>
                <c:pt idx="27">
                  <c:v>221.98963554232211</c:v>
                </c:pt>
                <c:pt idx="28">
                  <c:v>221.98963554232211</c:v>
                </c:pt>
                <c:pt idx="29">
                  <c:v>221.98963554232211</c:v>
                </c:pt>
                <c:pt idx="30">
                  <c:v>221.98963554232211</c:v>
                </c:pt>
                <c:pt idx="31">
                  <c:v>221.98963554232211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C39-4C02-874B-83E3B83E00D4}"/>
            </c:ext>
          </c:extLst>
        </c:ser>
        <c:ser>
          <c:idx val="0"/>
          <c:order val="2"/>
          <c:tx>
            <c:strRef>
              <c:f>'driving mode datasheet'!$Q$99</c:f>
              <c:strCache>
                <c:ptCount val="1"/>
                <c:pt idx="0">
                  <c:v>kW S1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'driving mode datasheet'!$P$100:$P$131</c:f>
              <c:numCache>
                <c:formatCode>0</c:formatCode>
                <c:ptCount val="32"/>
                <c:pt idx="0">
                  <c:v>10</c:v>
                </c:pt>
                <c:pt idx="1">
                  <c:v>2976</c:v>
                </c:pt>
                <c:pt idx="2">
                  <c:v>2976</c:v>
                </c:pt>
                <c:pt idx="3">
                  <c:v>3328.4</c:v>
                </c:pt>
                <c:pt idx="4">
                  <c:v>3680.8</c:v>
                </c:pt>
                <c:pt idx="5">
                  <c:v>4033.2000000000003</c:v>
                </c:pt>
                <c:pt idx="6">
                  <c:v>4385.6000000000004</c:v>
                </c:pt>
                <c:pt idx="7">
                  <c:v>4738</c:v>
                </c:pt>
                <c:pt idx="8">
                  <c:v>5090.3999999999996</c:v>
                </c:pt>
                <c:pt idx="9">
                  <c:v>5442.7999999999993</c:v>
                </c:pt>
                <c:pt idx="10">
                  <c:v>5795.1999999999989</c:v>
                </c:pt>
                <c:pt idx="11">
                  <c:v>6147.5999999999985</c:v>
                </c:pt>
                <c:pt idx="12">
                  <c:v>6500</c:v>
                </c:pt>
                <c:pt idx="13">
                  <c:v>6500</c:v>
                </c:pt>
                <c:pt idx="14">
                  <c:v>6500</c:v>
                </c:pt>
                <c:pt idx="15">
                  <c:v>6500</c:v>
                </c:pt>
                <c:pt idx="16">
                  <c:v>6500</c:v>
                </c:pt>
                <c:pt idx="17">
                  <c:v>6500</c:v>
                </c:pt>
                <c:pt idx="18">
                  <c:v>6500</c:v>
                </c:pt>
                <c:pt idx="19">
                  <c:v>6500</c:v>
                </c:pt>
                <c:pt idx="20">
                  <c:v>6500</c:v>
                </c:pt>
                <c:pt idx="21">
                  <c:v>6500</c:v>
                </c:pt>
                <c:pt idx="22">
                  <c:v>6500</c:v>
                </c:pt>
                <c:pt idx="23">
                  <c:v>6500</c:v>
                </c:pt>
                <c:pt idx="24">
                  <c:v>6500</c:v>
                </c:pt>
                <c:pt idx="25">
                  <c:v>6500</c:v>
                </c:pt>
                <c:pt idx="26">
                  <c:v>6500</c:v>
                </c:pt>
                <c:pt idx="27">
                  <c:v>6500</c:v>
                </c:pt>
                <c:pt idx="28">
                  <c:v>6500</c:v>
                </c:pt>
                <c:pt idx="29">
                  <c:v>6500</c:v>
                </c:pt>
                <c:pt idx="30">
                  <c:v>6500</c:v>
                </c:pt>
                <c:pt idx="31">
                  <c:v>6500</c:v>
                </c:pt>
              </c:numCache>
            </c:numRef>
          </c:xVal>
          <c:yVal>
            <c:numRef>
              <c:f>'driving mode datasheet'!$Q$100:$Q$131</c:f>
              <c:numCache>
                <c:formatCode>0.0</c:formatCode>
                <c:ptCount val="32"/>
                <c:pt idx="0">
                  <c:v>1.92683368421941</c:v>
                </c:pt>
                <c:pt idx="1">
                  <c:v>149.59007579333158</c:v>
                </c:pt>
                <c:pt idx="2">
                  <c:v>149.59007579333158</c:v>
                </c:pt>
                <c:pt idx="3">
                  <c:v>149.59007579333158</c:v>
                </c:pt>
                <c:pt idx="4">
                  <c:v>149.59007579333158</c:v>
                </c:pt>
                <c:pt idx="5">
                  <c:v>149.59007579333158</c:v>
                </c:pt>
                <c:pt idx="6">
                  <c:v>149.59007579333158</c:v>
                </c:pt>
                <c:pt idx="7">
                  <c:v>149.59007579333158</c:v>
                </c:pt>
                <c:pt idx="8">
                  <c:v>149.59007579333158</c:v>
                </c:pt>
                <c:pt idx="9">
                  <c:v>149.59007579333158</c:v>
                </c:pt>
                <c:pt idx="10">
                  <c:v>149.59007579333158</c:v>
                </c:pt>
                <c:pt idx="11">
                  <c:v>149.59007579333158</c:v>
                </c:pt>
                <c:pt idx="12">
                  <c:v>149.59007579333158</c:v>
                </c:pt>
                <c:pt idx="13">
                  <c:v>149.59007579333158</c:v>
                </c:pt>
                <c:pt idx="14">
                  <c:v>149.59007579333158</c:v>
                </c:pt>
                <c:pt idx="15">
                  <c:v>149.59007579333158</c:v>
                </c:pt>
                <c:pt idx="16">
                  <c:v>149.59007579333158</c:v>
                </c:pt>
                <c:pt idx="17">
                  <c:v>149.59007579333158</c:v>
                </c:pt>
                <c:pt idx="18">
                  <c:v>149.59007579333158</c:v>
                </c:pt>
                <c:pt idx="19">
                  <c:v>149.59007579333158</c:v>
                </c:pt>
                <c:pt idx="20">
                  <c:v>149.59007579333158</c:v>
                </c:pt>
                <c:pt idx="21">
                  <c:v>149.59007579333158</c:v>
                </c:pt>
                <c:pt idx="22">
                  <c:v>149.59007579333158</c:v>
                </c:pt>
                <c:pt idx="23">
                  <c:v>149.59007579333158</c:v>
                </c:pt>
                <c:pt idx="24">
                  <c:v>149.59007579333158</c:v>
                </c:pt>
                <c:pt idx="25">
                  <c:v>149.59007579333158</c:v>
                </c:pt>
                <c:pt idx="26">
                  <c:v>149.59007579333158</c:v>
                </c:pt>
                <c:pt idx="27">
                  <c:v>149.59007579333158</c:v>
                </c:pt>
                <c:pt idx="28">
                  <c:v>149.59007579333158</c:v>
                </c:pt>
                <c:pt idx="29">
                  <c:v>149.59007579333158</c:v>
                </c:pt>
                <c:pt idx="30">
                  <c:v>149.59007579333158</c:v>
                </c:pt>
                <c:pt idx="31">
                  <c:v>149.59007579333158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C39-4C02-874B-83E3B83E00D4}"/>
            </c:ext>
          </c:extLst>
        </c:ser>
        <c:ser>
          <c:idx val="2"/>
          <c:order val="3"/>
          <c:tx>
            <c:strRef>
              <c:f>'driving mode datasheet'!$B$115</c:f>
              <c:strCache>
                <c:ptCount val="1"/>
                <c:pt idx="0">
                  <c:v>KW 1</c:v>
                </c:pt>
              </c:strCache>
            </c:strRef>
          </c:tx>
          <c:spPr>
            <a:ln w="38100">
              <a:solidFill>
                <a:srgbClr val="0000FF"/>
              </a:solidFill>
              <a:prstDash val="solid"/>
            </a:ln>
          </c:spPr>
          <c:marker>
            <c:symbol val="none"/>
          </c:marker>
          <c:xVal>
            <c:numRef>
              <c:f>'driving mode datasheet'!$A$116:$A$135</c:f>
              <c:numCache>
                <c:formatCode>0</c:formatCode>
                <c:ptCount val="20"/>
              </c:numCache>
            </c:numRef>
          </c:xVal>
          <c:yVal>
            <c:numRef>
              <c:f>'driving mode datasheet'!$B$116:$B$135</c:f>
              <c:numCache>
                <c:formatCode>0.0</c:formatCode>
                <c:ptCount val="20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5C39-4C02-874B-83E3B83E00D4}"/>
            </c:ext>
          </c:extLst>
        </c:ser>
        <c:ser>
          <c:idx val="3"/>
          <c:order val="4"/>
          <c:tx>
            <c:strRef>
              <c:f>'driving mode datasheet'!$C$115</c:f>
              <c:strCache>
                <c:ptCount val="1"/>
                <c:pt idx="0">
                  <c:v>KW 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'driving mode datasheet'!$A$116:$A$135</c:f>
              <c:numCache>
                <c:formatCode>0</c:formatCode>
                <c:ptCount val="20"/>
              </c:numCache>
            </c:numRef>
          </c:xVal>
          <c:yVal>
            <c:numRef>
              <c:f>'driving mode datasheet'!$C$116:$C$135</c:f>
              <c:numCache>
                <c:formatCode>0.0</c:formatCode>
                <c:ptCount val="20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5C39-4C02-874B-83E3B83E00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048512"/>
        <c:axId val="124050432"/>
      </c:scatterChart>
      <c:valAx>
        <c:axId val="124048512"/>
        <c:scaling>
          <c:orientation val="minMax"/>
        </c:scaling>
        <c:delete val="0"/>
        <c:axPos val="b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minorGridlines>
          <c:spPr>
            <a:ln w="3175">
              <a:solidFill>
                <a:schemeClr val="bg1">
                  <a:lumMod val="85000"/>
                </a:schemeClr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 Narrow" panose="020B0606020202030204" pitchFamily="34" charset="0"/>
                    <a:ea typeface="Arial"/>
                    <a:cs typeface="Arial"/>
                  </a:defRPr>
                </a:pPr>
                <a:r>
                  <a:rPr lang="es-ES" sz="1200">
                    <a:latin typeface="Arial Narrow" panose="020B0606020202030204" pitchFamily="34" charset="0"/>
                  </a:rPr>
                  <a:t>rpm</a:t>
                </a:r>
              </a:p>
            </c:rich>
          </c:tx>
          <c:layout>
            <c:manualLayout>
              <c:xMode val="edge"/>
              <c:yMode val="edge"/>
              <c:x val="0.51692603872629128"/>
              <c:y val="0.9310969568294410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en-US"/>
          </a:p>
        </c:txPr>
        <c:crossAx val="124050432"/>
        <c:crosses val="autoZero"/>
        <c:crossBetween val="midCat"/>
      </c:valAx>
      <c:valAx>
        <c:axId val="124050432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minorGridlines>
          <c:spPr>
            <a:ln w="3175">
              <a:solidFill>
                <a:schemeClr val="bg1">
                  <a:lumMod val="85000"/>
                </a:schemeClr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 Narrow" panose="020B0606020202030204" pitchFamily="34" charset="0"/>
                    <a:ea typeface="Arial"/>
                    <a:cs typeface="Arial"/>
                  </a:defRPr>
                </a:pPr>
                <a:r>
                  <a:rPr lang="es-ES" sz="1200">
                    <a:latin typeface="Arial Narrow" panose="020B0606020202030204" pitchFamily="34" charset="0"/>
                  </a:rPr>
                  <a:t>KW</a:t>
                </a:r>
              </a:p>
            </c:rich>
          </c:tx>
          <c:layout>
            <c:manualLayout>
              <c:xMode val="edge"/>
              <c:yMode val="edge"/>
              <c:x val="3.4137714799842366E-2"/>
              <c:y val="0.45270051434653463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en-US"/>
          </a:p>
        </c:txPr>
        <c:crossAx val="124048512"/>
        <c:crosses val="autoZero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0146806227181589"/>
          <c:y val="9.6625151155468686E-2"/>
          <c:w val="0.86352895104063121"/>
          <c:h val="7.263041164440435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 Narrow" panose="020B0606020202030204" pitchFamily="34" charset="0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" footer="0"/>
    <c:pageSetup paperSize="9" orientation="landscape" horizontalDpi="1200" verticalDpi="12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r>
              <a:rPr lang="es-ES" sz="1200" b="1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cs typeface="Arial"/>
              </a:rPr>
              <a:t>Curva de Par / </a:t>
            </a:r>
            <a:r>
              <a:rPr lang="es-ES" sz="1200" b="1" i="1" u="none" strike="noStrike" baseline="0">
                <a:solidFill>
                  <a:srgbClr val="000000"/>
                </a:solidFill>
                <a:latin typeface="Arial Narrow" panose="020B0606020202030204" pitchFamily="34" charset="0"/>
                <a:cs typeface="Arial"/>
              </a:rPr>
              <a:t>Torque Diagram</a:t>
            </a:r>
            <a:endParaRPr lang="es-ES" sz="1200" b="1" i="0" u="none" strike="noStrike" baseline="0">
              <a:solidFill>
                <a:srgbClr val="000000"/>
              </a:solidFill>
              <a:latin typeface="Arial Narrow" panose="020B0606020202030204" pitchFamily="34" charset="0"/>
              <a:cs typeface="Arial"/>
            </a:endParaRPr>
          </a:p>
          <a:p>
            <a:pPr>
              <a:defRPr sz="12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es-ES" sz="1200" b="1" i="0" u="none" strike="noStrike" baseline="0">
              <a:solidFill>
                <a:srgbClr val="000000"/>
              </a:solidFill>
              <a:latin typeface="Arial Narrow" panose="020B0606020202030204" pitchFamily="34" charset="0"/>
              <a:cs typeface="Arial"/>
            </a:endParaRPr>
          </a:p>
        </c:rich>
      </c:tx>
      <c:layout>
        <c:manualLayout>
          <c:xMode val="edge"/>
          <c:yMode val="edge"/>
          <c:x val="0.35427833873706976"/>
          <c:y val="3.03687039120109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319085996603371"/>
          <c:y val="0.18568292146276591"/>
          <c:w val="0.86151563995676972"/>
          <c:h val="0.67023076453225727"/>
        </c:manualLayout>
      </c:layout>
      <c:scatterChart>
        <c:scatterStyle val="smoothMarker"/>
        <c:varyColors val="0"/>
        <c:ser>
          <c:idx val="4"/>
          <c:order val="0"/>
          <c:tx>
            <c:strRef>
              <c:f>'driving mode datasheet'!$X$99</c:f>
              <c:strCache>
                <c:ptCount val="1"/>
                <c:pt idx="0">
                  <c:v>Nm Limit</c:v>
                </c:pt>
              </c:strCache>
            </c:strRef>
          </c:tx>
          <c:spPr>
            <a:ln>
              <a:solidFill>
                <a:schemeClr val="bg1">
                  <a:lumMod val="6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'driving mode datasheet'!$V$100:$V$131</c:f>
              <c:numCache>
                <c:formatCode>0</c:formatCode>
                <c:ptCount val="32"/>
                <c:pt idx="0">
                  <c:v>10</c:v>
                </c:pt>
                <c:pt idx="1">
                  <c:v>2596.3797011253637</c:v>
                </c:pt>
                <c:pt idx="2">
                  <c:v>2596.3797011253637</c:v>
                </c:pt>
                <c:pt idx="3">
                  <c:v>2856.0176712379002</c:v>
                </c:pt>
                <c:pt idx="4">
                  <c:v>3141.6194383616903</c:v>
                </c:pt>
                <c:pt idx="5">
                  <c:v>3455.7813821978598</c:v>
                </c:pt>
                <c:pt idx="6">
                  <c:v>3801.3595204176459</c:v>
                </c:pt>
                <c:pt idx="7">
                  <c:v>4181.4954724594108</c:v>
                </c:pt>
                <c:pt idx="8">
                  <c:v>4599.6450197053528</c:v>
                </c:pt>
                <c:pt idx="9">
                  <c:v>5059.6095216758886</c:v>
                </c:pt>
                <c:pt idx="10">
                  <c:v>5565.5704738434779</c:v>
                </c:pt>
                <c:pt idx="11">
                  <c:v>6122.127521227826</c:v>
                </c:pt>
                <c:pt idx="12">
                  <c:v>6500</c:v>
                </c:pt>
                <c:pt idx="13">
                  <c:v>6500</c:v>
                </c:pt>
                <c:pt idx="14">
                  <c:v>6500</c:v>
                </c:pt>
                <c:pt idx="15">
                  <c:v>6500</c:v>
                </c:pt>
                <c:pt idx="16">
                  <c:v>6500</c:v>
                </c:pt>
                <c:pt idx="17">
                  <c:v>6500</c:v>
                </c:pt>
                <c:pt idx="18">
                  <c:v>6500</c:v>
                </c:pt>
                <c:pt idx="19">
                  <c:v>6500</c:v>
                </c:pt>
                <c:pt idx="20">
                  <c:v>6500</c:v>
                </c:pt>
                <c:pt idx="21">
                  <c:v>6500</c:v>
                </c:pt>
                <c:pt idx="22">
                  <c:v>6500</c:v>
                </c:pt>
                <c:pt idx="23">
                  <c:v>6500</c:v>
                </c:pt>
                <c:pt idx="24">
                  <c:v>6500</c:v>
                </c:pt>
                <c:pt idx="25">
                  <c:v>6500</c:v>
                </c:pt>
                <c:pt idx="26">
                  <c:v>6500</c:v>
                </c:pt>
                <c:pt idx="27">
                  <c:v>6500</c:v>
                </c:pt>
                <c:pt idx="28">
                  <c:v>6500</c:v>
                </c:pt>
                <c:pt idx="29">
                  <c:v>6500</c:v>
                </c:pt>
                <c:pt idx="30">
                  <c:v>6500</c:v>
                </c:pt>
                <c:pt idx="31">
                  <c:v>6500</c:v>
                </c:pt>
              </c:numCache>
            </c:numRef>
          </c:xVal>
          <c:yVal>
            <c:numRef>
              <c:f>'driving mode datasheet'!$X$100:$X$131</c:f>
              <c:numCache>
                <c:formatCode>0.0</c:formatCode>
                <c:ptCount val="32"/>
                <c:pt idx="0">
                  <c:v>2044.434035729915</c:v>
                </c:pt>
                <c:pt idx="1">
                  <c:v>2044.434035729915</c:v>
                </c:pt>
                <c:pt idx="2">
                  <c:v>2044.434035729915</c:v>
                </c:pt>
                <c:pt idx="3">
                  <c:v>1720.4907512112418</c:v>
                </c:pt>
                <c:pt idx="4">
                  <c:v>1447.876709774398</c:v>
                </c:pt>
                <c:pt idx="5">
                  <c:v>1218.4587247744794</c:v>
                </c:pt>
                <c:pt idx="6">
                  <c:v>1025.3923237776105</c:v>
                </c:pt>
                <c:pt idx="7">
                  <c:v>862.91755008496773</c:v>
                </c:pt>
                <c:pt idx="8">
                  <c:v>726.18711977615624</c:v>
                </c:pt>
                <c:pt idx="9">
                  <c:v>611.12180749697791</c:v>
                </c:pt>
                <c:pt idx="10">
                  <c:v>514.28874656093285</c:v>
                </c:pt>
                <c:pt idx="11">
                  <c:v>432.79901256104887</c:v>
                </c:pt>
                <c:pt idx="12">
                  <c:v>388.33486016112715</c:v>
                </c:pt>
                <c:pt idx="13">
                  <c:v>388.33486016112715</c:v>
                </c:pt>
                <c:pt idx="14">
                  <c:v>388.33486016112715</c:v>
                </c:pt>
                <c:pt idx="15">
                  <c:v>388.33486016112715</c:v>
                </c:pt>
                <c:pt idx="16">
                  <c:v>388.33486016112715</c:v>
                </c:pt>
                <c:pt idx="17">
                  <c:v>388.33486016112715</c:v>
                </c:pt>
                <c:pt idx="18">
                  <c:v>388.33486016112715</c:v>
                </c:pt>
                <c:pt idx="19">
                  <c:v>388.33486016112715</c:v>
                </c:pt>
                <c:pt idx="20">
                  <c:v>388.33486016112715</c:v>
                </c:pt>
                <c:pt idx="21">
                  <c:v>388.33486016112715</c:v>
                </c:pt>
                <c:pt idx="22">
                  <c:v>388.33486016112715</c:v>
                </c:pt>
                <c:pt idx="23">
                  <c:v>388.33486016112715</c:v>
                </c:pt>
                <c:pt idx="24">
                  <c:v>388.33486016112715</c:v>
                </c:pt>
                <c:pt idx="25">
                  <c:v>388.33486016112715</c:v>
                </c:pt>
                <c:pt idx="26">
                  <c:v>388.33486016112715</c:v>
                </c:pt>
                <c:pt idx="27">
                  <c:v>388.33486016112715</c:v>
                </c:pt>
                <c:pt idx="28">
                  <c:v>388.33486016112715</c:v>
                </c:pt>
                <c:pt idx="29">
                  <c:v>388.33486016112715</c:v>
                </c:pt>
                <c:pt idx="30">
                  <c:v>388.33486016112715</c:v>
                </c:pt>
                <c:pt idx="31">
                  <c:v>388.33486016112715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3F7-452B-9680-FEDA1AB08995}"/>
            </c:ext>
          </c:extLst>
        </c:ser>
        <c:ser>
          <c:idx val="1"/>
          <c:order val="1"/>
          <c:tx>
            <c:strRef>
              <c:f>'driving mode datasheet'!$U$99</c:f>
              <c:strCache>
                <c:ptCount val="1"/>
                <c:pt idx="0">
                  <c:v>Nm S6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'driving mode datasheet'!$S$100:$S$131</c:f>
              <c:numCache>
                <c:formatCode>0</c:formatCode>
                <c:ptCount val="32"/>
                <c:pt idx="0">
                  <c:v>10</c:v>
                </c:pt>
                <c:pt idx="1">
                  <c:v>2976</c:v>
                </c:pt>
                <c:pt idx="2">
                  <c:v>2976</c:v>
                </c:pt>
                <c:pt idx="3">
                  <c:v>3328.4</c:v>
                </c:pt>
                <c:pt idx="4">
                  <c:v>3680.8</c:v>
                </c:pt>
                <c:pt idx="5">
                  <c:v>4033.2000000000003</c:v>
                </c:pt>
                <c:pt idx="6">
                  <c:v>4385.6000000000004</c:v>
                </c:pt>
                <c:pt idx="7">
                  <c:v>4738</c:v>
                </c:pt>
                <c:pt idx="8">
                  <c:v>5090.3999999999996</c:v>
                </c:pt>
                <c:pt idx="9">
                  <c:v>5442.7999999999993</c:v>
                </c:pt>
                <c:pt idx="10">
                  <c:v>5795.1999999999989</c:v>
                </c:pt>
                <c:pt idx="11">
                  <c:v>6147.5999999999985</c:v>
                </c:pt>
                <c:pt idx="12">
                  <c:v>6500</c:v>
                </c:pt>
                <c:pt idx="13">
                  <c:v>6500</c:v>
                </c:pt>
                <c:pt idx="14">
                  <c:v>6500</c:v>
                </c:pt>
                <c:pt idx="15">
                  <c:v>6500</c:v>
                </c:pt>
                <c:pt idx="16">
                  <c:v>6500</c:v>
                </c:pt>
                <c:pt idx="17">
                  <c:v>6500</c:v>
                </c:pt>
                <c:pt idx="18">
                  <c:v>6500</c:v>
                </c:pt>
                <c:pt idx="19">
                  <c:v>6500</c:v>
                </c:pt>
                <c:pt idx="20">
                  <c:v>6500</c:v>
                </c:pt>
                <c:pt idx="21">
                  <c:v>6500</c:v>
                </c:pt>
                <c:pt idx="22">
                  <c:v>6500</c:v>
                </c:pt>
                <c:pt idx="23">
                  <c:v>6500</c:v>
                </c:pt>
                <c:pt idx="24">
                  <c:v>6500</c:v>
                </c:pt>
                <c:pt idx="25">
                  <c:v>6500</c:v>
                </c:pt>
                <c:pt idx="26">
                  <c:v>6500</c:v>
                </c:pt>
                <c:pt idx="27">
                  <c:v>6500</c:v>
                </c:pt>
                <c:pt idx="28">
                  <c:v>6500</c:v>
                </c:pt>
                <c:pt idx="29">
                  <c:v>6500</c:v>
                </c:pt>
                <c:pt idx="30">
                  <c:v>6500</c:v>
                </c:pt>
                <c:pt idx="31">
                  <c:v>6500</c:v>
                </c:pt>
              </c:numCache>
            </c:numRef>
          </c:xVal>
          <c:yVal>
            <c:numRef>
              <c:f>'driving mode datasheet'!$U$100:$U$131</c:f>
              <c:numCache>
                <c:formatCode>0.0</c:formatCode>
                <c:ptCount val="32"/>
                <c:pt idx="0">
                  <c:v>712.31346394614638</c:v>
                </c:pt>
                <c:pt idx="1">
                  <c:v>712.31346394614638</c:v>
                </c:pt>
                <c:pt idx="2">
                  <c:v>712.31346394614638</c:v>
                </c:pt>
                <c:pt idx="3">
                  <c:v>636.8960667899687</c:v>
                </c:pt>
                <c:pt idx="4">
                  <c:v>575.91960136484772</c:v>
                </c:pt>
                <c:pt idx="5">
                  <c:v>525.59874757109287</c:v>
                </c:pt>
                <c:pt idx="6">
                  <c:v>483.36484601963963</c:v>
                </c:pt>
                <c:pt idx="7">
                  <c:v>447.41343788597123</c:v>
                </c:pt>
                <c:pt idx="8">
                  <c:v>416.43974318398006</c:v>
                </c:pt>
                <c:pt idx="9">
                  <c:v>389.47689951931579</c:v>
                </c:pt>
                <c:pt idx="10">
                  <c:v>365.79322002756282</c:v>
                </c:pt>
                <c:pt idx="11">
                  <c:v>344.82478832450585</c:v>
                </c:pt>
                <c:pt idx="12">
                  <c:v>326.12997980057412</c:v>
                </c:pt>
                <c:pt idx="13">
                  <c:v>326.12997980057412</c:v>
                </c:pt>
                <c:pt idx="14">
                  <c:v>326.12997980057412</c:v>
                </c:pt>
                <c:pt idx="15">
                  <c:v>326.12997980057412</c:v>
                </c:pt>
                <c:pt idx="16">
                  <c:v>326.12997980057412</c:v>
                </c:pt>
                <c:pt idx="17">
                  <c:v>326.12997980057412</c:v>
                </c:pt>
                <c:pt idx="18">
                  <c:v>326.12997980057412</c:v>
                </c:pt>
                <c:pt idx="19">
                  <c:v>326.12997980057412</c:v>
                </c:pt>
                <c:pt idx="20">
                  <c:v>326.12997980057412</c:v>
                </c:pt>
                <c:pt idx="21">
                  <c:v>326.12997980057412</c:v>
                </c:pt>
                <c:pt idx="22">
                  <c:v>326.12997980057412</c:v>
                </c:pt>
                <c:pt idx="23">
                  <c:v>326.12997980057412</c:v>
                </c:pt>
                <c:pt idx="24">
                  <c:v>326.12997980057412</c:v>
                </c:pt>
                <c:pt idx="25">
                  <c:v>326.12997980057412</c:v>
                </c:pt>
                <c:pt idx="26">
                  <c:v>326.12997980057412</c:v>
                </c:pt>
                <c:pt idx="27">
                  <c:v>326.12997980057412</c:v>
                </c:pt>
                <c:pt idx="28">
                  <c:v>326.12997980057412</c:v>
                </c:pt>
                <c:pt idx="29">
                  <c:v>326.12997980057412</c:v>
                </c:pt>
                <c:pt idx="30">
                  <c:v>326.12997980057412</c:v>
                </c:pt>
                <c:pt idx="31">
                  <c:v>326.12997980057412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3F7-452B-9680-FEDA1AB08995}"/>
            </c:ext>
          </c:extLst>
        </c:ser>
        <c:ser>
          <c:idx val="0"/>
          <c:order val="2"/>
          <c:tx>
            <c:strRef>
              <c:f>'driving mode datasheet'!$R$99</c:f>
              <c:strCache>
                <c:ptCount val="1"/>
                <c:pt idx="0">
                  <c:v>Nm S1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'driving mode datasheet'!$P$100:$P$131</c:f>
              <c:numCache>
                <c:formatCode>0</c:formatCode>
                <c:ptCount val="32"/>
                <c:pt idx="0">
                  <c:v>10</c:v>
                </c:pt>
                <c:pt idx="1">
                  <c:v>2976</c:v>
                </c:pt>
                <c:pt idx="2">
                  <c:v>2976</c:v>
                </c:pt>
                <c:pt idx="3">
                  <c:v>3328.4</c:v>
                </c:pt>
                <c:pt idx="4">
                  <c:v>3680.8</c:v>
                </c:pt>
                <c:pt idx="5">
                  <c:v>4033.2000000000003</c:v>
                </c:pt>
                <c:pt idx="6">
                  <c:v>4385.6000000000004</c:v>
                </c:pt>
                <c:pt idx="7">
                  <c:v>4738</c:v>
                </c:pt>
                <c:pt idx="8">
                  <c:v>5090.3999999999996</c:v>
                </c:pt>
                <c:pt idx="9">
                  <c:v>5442.7999999999993</c:v>
                </c:pt>
                <c:pt idx="10">
                  <c:v>5795.1999999999989</c:v>
                </c:pt>
                <c:pt idx="11">
                  <c:v>6147.5999999999985</c:v>
                </c:pt>
                <c:pt idx="12">
                  <c:v>6500</c:v>
                </c:pt>
                <c:pt idx="13">
                  <c:v>6500</c:v>
                </c:pt>
                <c:pt idx="14">
                  <c:v>6500</c:v>
                </c:pt>
                <c:pt idx="15">
                  <c:v>6500</c:v>
                </c:pt>
                <c:pt idx="16">
                  <c:v>6500</c:v>
                </c:pt>
                <c:pt idx="17">
                  <c:v>6500</c:v>
                </c:pt>
                <c:pt idx="18">
                  <c:v>6500</c:v>
                </c:pt>
                <c:pt idx="19">
                  <c:v>6500</c:v>
                </c:pt>
                <c:pt idx="20">
                  <c:v>6500</c:v>
                </c:pt>
                <c:pt idx="21">
                  <c:v>6500</c:v>
                </c:pt>
                <c:pt idx="22">
                  <c:v>6500</c:v>
                </c:pt>
                <c:pt idx="23">
                  <c:v>6500</c:v>
                </c:pt>
                <c:pt idx="24">
                  <c:v>6500</c:v>
                </c:pt>
                <c:pt idx="25">
                  <c:v>6500</c:v>
                </c:pt>
                <c:pt idx="26">
                  <c:v>6500</c:v>
                </c:pt>
                <c:pt idx="27">
                  <c:v>6500</c:v>
                </c:pt>
                <c:pt idx="28">
                  <c:v>6500</c:v>
                </c:pt>
                <c:pt idx="29">
                  <c:v>6500</c:v>
                </c:pt>
                <c:pt idx="30">
                  <c:v>6500</c:v>
                </c:pt>
                <c:pt idx="31">
                  <c:v>6500</c:v>
                </c:pt>
              </c:numCache>
            </c:numRef>
          </c:xVal>
          <c:yVal>
            <c:numRef>
              <c:f>'driving mode datasheet'!$R$100:$R$131</c:f>
              <c:numCache>
                <c:formatCode>0.0</c:formatCode>
                <c:ptCount val="32"/>
                <c:pt idx="0">
                  <c:v>480</c:v>
                </c:pt>
                <c:pt idx="1">
                  <c:v>480</c:v>
                </c:pt>
                <c:pt idx="2">
                  <c:v>480</c:v>
                </c:pt>
                <c:pt idx="3">
                  <c:v>429.17918519408721</c:v>
                </c:pt>
                <c:pt idx="4">
                  <c:v>388.08954575092372</c:v>
                </c:pt>
                <c:pt idx="5">
                  <c:v>354.18030348110676</c:v>
                </c:pt>
                <c:pt idx="6">
                  <c:v>325.72053994892372</c:v>
                </c:pt>
                <c:pt idx="7">
                  <c:v>301.49430139299284</c:v>
                </c:pt>
                <c:pt idx="8">
                  <c:v>280.62234794908062</c:v>
                </c:pt>
                <c:pt idx="9">
                  <c:v>262.45314911442642</c:v>
                </c:pt>
                <c:pt idx="10">
                  <c:v>246.49364991717289</c:v>
                </c:pt>
                <c:pt idx="11">
                  <c:v>232.36384930704671</c:v>
                </c:pt>
                <c:pt idx="12">
                  <c:v>219.76615384615386</c:v>
                </c:pt>
                <c:pt idx="13">
                  <c:v>219.76615384615386</c:v>
                </c:pt>
                <c:pt idx="14">
                  <c:v>219.76615384615386</c:v>
                </c:pt>
                <c:pt idx="15">
                  <c:v>219.76615384615386</c:v>
                </c:pt>
                <c:pt idx="16">
                  <c:v>219.76615384615386</c:v>
                </c:pt>
                <c:pt idx="17">
                  <c:v>219.76615384615386</c:v>
                </c:pt>
                <c:pt idx="18">
                  <c:v>219.76615384615386</c:v>
                </c:pt>
                <c:pt idx="19">
                  <c:v>219.76615384615386</c:v>
                </c:pt>
                <c:pt idx="20">
                  <c:v>219.76615384615386</c:v>
                </c:pt>
                <c:pt idx="21">
                  <c:v>219.76615384615386</c:v>
                </c:pt>
                <c:pt idx="22">
                  <c:v>219.76615384615386</c:v>
                </c:pt>
                <c:pt idx="23">
                  <c:v>219.76615384615386</c:v>
                </c:pt>
                <c:pt idx="24">
                  <c:v>219.76615384615386</c:v>
                </c:pt>
                <c:pt idx="25">
                  <c:v>219.76615384615386</c:v>
                </c:pt>
                <c:pt idx="26">
                  <c:v>219.76615384615386</c:v>
                </c:pt>
                <c:pt idx="27">
                  <c:v>219.76615384615386</c:v>
                </c:pt>
                <c:pt idx="28">
                  <c:v>219.76615384615386</c:v>
                </c:pt>
                <c:pt idx="29">
                  <c:v>219.76615384615386</c:v>
                </c:pt>
                <c:pt idx="30">
                  <c:v>219.76615384615386</c:v>
                </c:pt>
                <c:pt idx="31">
                  <c:v>219.76615384615386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3F7-452B-9680-FEDA1AB08995}"/>
            </c:ext>
          </c:extLst>
        </c:ser>
        <c:ser>
          <c:idx val="2"/>
          <c:order val="3"/>
          <c:tx>
            <c:strRef>
              <c:f>'driving mode datasheet'!$B$91</c:f>
              <c:strCache>
                <c:ptCount val="1"/>
                <c:pt idx="0">
                  <c:v>Nm 1</c:v>
                </c:pt>
              </c:strCache>
            </c:strRef>
          </c:tx>
          <c:spPr>
            <a:ln w="38100">
              <a:solidFill>
                <a:srgbClr val="0000FF"/>
              </a:solidFill>
              <a:prstDash val="solid"/>
            </a:ln>
          </c:spPr>
          <c:marker>
            <c:symbol val="none"/>
          </c:marker>
          <c:xVal>
            <c:numRef>
              <c:f>'driving mode datasheet'!$A$92:$A$111</c:f>
              <c:numCache>
                <c:formatCode>0</c:formatCode>
                <c:ptCount val="20"/>
              </c:numCache>
            </c:numRef>
          </c:xVal>
          <c:yVal>
            <c:numRef>
              <c:f>'driving mode datasheet'!$B$92:$B$111</c:f>
              <c:numCache>
                <c:formatCode>0</c:formatCode>
                <c:ptCount val="20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13F7-452B-9680-FEDA1AB08995}"/>
            </c:ext>
          </c:extLst>
        </c:ser>
        <c:ser>
          <c:idx val="3"/>
          <c:order val="4"/>
          <c:tx>
            <c:strRef>
              <c:f>'driving mode datasheet'!$C$91</c:f>
              <c:strCache>
                <c:ptCount val="1"/>
                <c:pt idx="0">
                  <c:v>Nm 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'driving mode datasheet'!$A$92:$A$111</c:f>
              <c:numCache>
                <c:formatCode>0</c:formatCode>
                <c:ptCount val="20"/>
              </c:numCache>
            </c:numRef>
          </c:xVal>
          <c:yVal>
            <c:numRef>
              <c:f>'driving mode datasheet'!$C$92:$C$111</c:f>
              <c:numCache>
                <c:formatCode>0</c:formatCode>
                <c:ptCount val="20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13F7-452B-9680-FEDA1AB089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176064"/>
        <c:axId val="125215104"/>
      </c:scatterChart>
      <c:valAx>
        <c:axId val="125176064"/>
        <c:scaling>
          <c:orientation val="minMax"/>
        </c:scaling>
        <c:delete val="0"/>
        <c:axPos val="b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minorGridlines>
          <c:spPr>
            <a:ln w="3175">
              <a:solidFill>
                <a:schemeClr val="bg1">
                  <a:lumMod val="85000"/>
                </a:schemeClr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 Narrow" panose="020B0606020202030204" pitchFamily="34" charset="0"/>
                    <a:ea typeface="Arial"/>
                    <a:cs typeface="Arial"/>
                  </a:defRPr>
                </a:pPr>
                <a:r>
                  <a:rPr lang="es-ES" sz="1200">
                    <a:latin typeface="Arial Narrow" panose="020B0606020202030204" pitchFamily="34" charset="0"/>
                  </a:rPr>
                  <a:t>rpm</a:t>
                </a:r>
              </a:p>
            </c:rich>
          </c:tx>
          <c:layout>
            <c:manualLayout>
              <c:xMode val="edge"/>
              <c:yMode val="edge"/>
              <c:x val="0.51254803893314993"/>
              <c:y val="0.9181084182658988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en-US"/>
          </a:p>
        </c:txPr>
        <c:crossAx val="125215104"/>
        <c:crosses val="autoZero"/>
        <c:crossBetween val="midCat"/>
      </c:valAx>
      <c:valAx>
        <c:axId val="125215104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minorGridlines>
          <c:spPr>
            <a:ln w="3175">
              <a:solidFill>
                <a:schemeClr val="bg1">
                  <a:lumMod val="85000"/>
                </a:schemeClr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 Narrow" panose="020B0606020202030204" pitchFamily="34" charset="0"/>
                    <a:ea typeface="Arial"/>
                    <a:cs typeface="Arial"/>
                  </a:defRPr>
                </a:pPr>
                <a:r>
                  <a:rPr lang="es-ES" sz="1200">
                    <a:latin typeface="Arial Narrow" panose="020B0606020202030204" pitchFamily="34" charset="0"/>
                  </a:rPr>
                  <a:t>Nm</a:t>
                </a:r>
              </a:p>
            </c:rich>
          </c:tx>
          <c:layout>
            <c:manualLayout>
              <c:xMode val="edge"/>
              <c:yMode val="edge"/>
              <c:x val="2.0124749112243337E-2"/>
              <c:y val="0.42230438466008186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en-US"/>
          </a:p>
        </c:txPr>
        <c:crossAx val="125176064"/>
        <c:crosses val="autoZero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0091672070402967"/>
          <c:y val="0.10766861950679985"/>
          <c:w val="0.86000370541917581"/>
          <c:h val="7.426522128794810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 Narrow" panose="020B0606020202030204" pitchFamily="34" charset="0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" footer="0"/>
    <c:pageSetup paperSize="9" orientation="landscape" horizontalDpi="1200" verticalDpi="12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r>
              <a:rPr lang="es-ES" sz="1200" b="1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cs typeface="Arial"/>
              </a:rPr>
              <a:t>Curva de Potencia / Power Diagram</a:t>
            </a:r>
          </a:p>
        </c:rich>
      </c:tx>
      <c:layout>
        <c:manualLayout>
          <c:xMode val="edge"/>
          <c:yMode val="edge"/>
          <c:x val="0.35427833873706976"/>
          <c:y val="3.03687039120109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319085996603371"/>
          <c:y val="0.18568292146276591"/>
          <c:w val="0.86151563995676972"/>
          <c:h val="0.67023076453225727"/>
        </c:manualLayout>
      </c:layout>
      <c:scatterChart>
        <c:scatterStyle val="smoothMarker"/>
        <c:varyColors val="0"/>
        <c:ser>
          <c:idx val="4"/>
          <c:order val="0"/>
          <c:tx>
            <c:strRef>
              <c:f>'absorbing mode datasheet'!$W$99</c:f>
              <c:strCache>
                <c:ptCount val="1"/>
                <c:pt idx="0">
                  <c:v>KW limit</c:v>
                </c:pt>
              </c:strCache>
            </c:strRef>
          </c:tx>
          <c:spPr>
            <a:ln>
              <a:solidFill>
                <a:schemeClr val="bg1">
                  <a:lumMod val="6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'absorbing mode datasheet'!$V$100:$V$131</c:f>
              <c:numCache>
                <c:formatCode>0</c:formatCode>
                <c:ptCount val="32"/>
                <c:pt idx="0">
                  <c:v>10</c:v>
                </c:pt>
                <c:pt idx="1">
                  <c:v>1920.781115106123</c:v>
                </c:pt>
                <c:pt idx="2">
                  <c:v>1920.781115106123</c:v>
                </c:pt>
                <c:pt idx="3">
                  <c:v>2112.8592266167357</c:v>
                </c:pt>
                <c:pt idx="4">
                  <c:v>2324.1451492784095</c:v>
                </c:pt>
                <c:pt idx="5">
                  <c:v>2556.5596642062505</c:v>
                </c:pt>
                <c:pt idx="6">
                  <c:v>2812.2156306268757</c:v>
                </c:pt>
                <c:pt idx="7">
                  <c:v>3093.4371936895636</c:v>
                </c:pt>
                <c:pt idx="8">
                  <c:v>3402.7809130585201</c:v>
                </c:pt>
                <c:pt idx="9">
                  <c:v>3743.0590043643724</c:v>
                </c:pt>
                <c:pt idx="10">
                  <c:v>4117.3649048008101</c:v>
                </c:pt>
                <c:pt idx="11">
                  <c:v>4529.1013952808917</c:v>
                </c:pt>
                <c:pt idx="12">
                  <c:v>4982.0115348089812</c:v>
                </c:pt>
                <c:pt idx="13">
                  <c:v>5480.2126882898801</c:v>
                </c:pt>
                <c:pt idx="14">
                  <c:v>6028.2339571188686</c:v>
                </c:pt>
                <c:pt idx="15">
                  <c:v>6500</c:v>
                </c:pt>
                <c:pt idx="16">
                  <c:v>6500</c:v>
                </c:pt>
                <c:pt idx="17">
                  <c:v>6500</c:v>
                </c:pt>
                <c:pt idx="18">
                  <c:v>6500</c:v>
                </c:pt>
                <c:pt idx="19">
                  <c:v>6500</c:v>
                </c:pt>
                <c:pt idx="20">
                  <c:v>6500</c:v>
                </c:pt>
                <c:pt idx="21">
                  <c:v>6500</c:v>
                </c:pt>
                <c:pt idx="22">
                  <c:v>6500</c:v>
                </c:pt>
                <c:pt idx="23">
                  <c:v>6500</c:v>
                </c:pt>
                <c:pt idx="24">
                  <c:v>6500</c:v>
                </c:pt>
                <c:pt idx="25">
                  <c:v>6500</c:v>
                </c:pt>
                <c:pt idx="26">
                  <c:v>6500</c:v>
                </c:pt>
                <c:pt idx="27">
                  <c:v>6500</c:v>
                </c:pt>
                <c:pt idx="28">
                  <c:v>6500</c:v>
                </c:pt>
                <c:pt idx="29">
                  <c:v>6500</c:v>
                </c:pt>
                <c:pt idx="30">
                  <c:v>6500</c:v>
                </c:pt>
                <c:pt idx="31">
                  <c:v>6500</c:v>
                </c:pt>
              </c:numCache>
            </c:numRef>
          </c:xVal>
          <c:yVal>
            <c:numRef>
              <c:f>'absorbing mode datasheet'!$W$100:$W$131</c:f>
              <c:numCache>
                <c:formatCode>0</c:formatCode>
                <c:ptCount val="32"/>
                <c:pt idx="0">
                  <c:v>2.2536066482098365</c:v>
                </c:pt>
                <c:pt idx="1">
                  <c:v>432.86850907590622</c:v>
                </c:pt>
                <c:pt idx="2">
                  <c:v>432.86850907590622</c:v>
                </c:pt>
                <c:pt idx="3">
                  <c:v>400.70791166357344</c:v>
                </c:pt>
                <c:pt idx="4">
                  <c:v>370.93673275647257</c:v>
                </c:pt>
                <c:pt idx="5">
                  <c:v>343.37744702073178</c:v>
                </c:pt>
                <c:pt idx="6">
                  <c:v>317.86571862615864</c:v>
                </c:pt>
                <c:pt idx="7">
                  <c:v>294.24942131282108</c:v>
                </c:pt>
                <c:pt idx="8">
                  <c:v>272.38773126321274</c:v>
                </c:pt>
                <c:pt idx="9">
                  <c:v>252.15028737080266</c:v>
                </c:pt>
                <c:pt idx="10">
                  <c:v>233.41641389765886</c:v>
                </c:pt>
                <c:pt idx="11">
                  <c:v>216.07440088585835</c:v>
                </c:pt>
                <c:pt idx="12">
                  <c:v>200.02083803178041</c:v>
                </c:pt>
                <c:pt idx="13">
                  <c:v>185.15999805118142</c:v>
                </c:pt>
                <c:pt idx="14">
                  <c:v>171.40326585806145</c:v>
                </c:pt>
                <c:pt idx="15">
                  <c:v>161.25502387716233</c:v>
                </c:pt>
                <c:pt idx="16">
                  <c:v>161.25502387716233</c:v>
                </c:pt>
                <c:pt idx="17">
                  <c:v>161.25502387716233</c:v>
                </c:pt>
                <c:pt idx="18">
                  <c:v>161.25502387716233</c:v>
                </c:pt>
                <c:pt idx="19">
                  <c:v>161.25502387716233</c:v>
                </c:pt>
                <c:pt idx="20">
                  <c:v>161.25502387716233</c:v>
                </c:pt>
                <c:pt idx="21">
                  <c:v>161.25502387716233</c:v>
                </c:pt>
                <c:pt idx="22">
                  <c:v>161.25502387716233</c:v>
                </c:pt>
                <c:pt idx="23">
                  <c:v>161.25502387716233</c:v>
                </c:pt>
                <c:pt idx="24">
                  <c:v>161.25502387716233</c:v>
                </c:pt>
                <c:pt idx="25">
                  <c:v>161.25502387716233</c:v>
                </c:pt>
                <c:pt idx="26">
                  <c:v>161.25502387716233</c:v>
                </c:pt>
                <c:pt idx="27">
                  <c:v>161.25502387716233</c:v>
                </c:pt>
                <c:pt idx="28">
                  <c:v>161.25502387716233</c:v>
                </c:pt>
                <c:pt idx="29">
                  <c:v>161.25502387716233</c:v>
                </c:pt>
                <c:pt idx="30">
                  <c:v>161.25502387716233</c:v>
                </c:pt>
                <c:pt idx="31">
                  <c:v>161.25502387716233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43C-4841-96AF-F9E1885E0019}"/>
            </c:ext>
          </c:extLst>
        </c:ser>
        <c:ser>
          <c:idx val="1"/>
          <c:order val="1"/>
          <c:tx>
            <c:strRef>
              <c:f>'absorbing mode datasheet'!$T$99</c:f>
              <c:strCache>
                <c:ptCount val="1"/>
                <c:pt idx="0">
                  <c:v>kW S6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'absorbing mode datasheet'!$S$100:$S$131</c:f>
              <c:numCache>
                <c:formatCode>0</c:formatCode>
                <c:ptCount val="32"/>
                <c:pt idx="0">
                  <c:v>10</c:v>
                </c:pt>
                <c:pt idx="1">
                  <c:v>2336</c:v>
                </c:pt>
                <c:pt idx="2">
                  <c:v>2336</c:v>
                </c:pt>
                <c:pt idx="3">
                  <c:v>2578.3653402101872</c:v>
                </c:pt>
                <c:pt idx="4">
                  <c:v>2820.7306804203745</c:v>
                </c:pt>
                <c:pt idx="5">
                  <c:v>3063.0960206305617</c:v>
                </c:pt>
                <c:pt idx="6">
                  <c:v>3305.461360840749</c:v>
                </c:pt>
                <c:pt idx="7">
                  <c:v>3547.8267010509362</c:v>
                </c:pt>
                <c:pt idx="8">
                  <c:v>3790.1920412611234</c:v>
                </c:pt>
                <c:pt idx="9">
                  <c:v>4032.5573814713107</c:v>
                </c:pt>
                <c:pt idx="10">
                  <c:v>4274.9227216814979</c:v>
                </c:pt>
                <c:pt idx="11">
                  <c:v>4517.2880618916852</c:v>
                </c:pt>
                <c:pt idx="12">
                  <c:v>4759.6534021018733</c:v>
                </c:pt>
                <c:pt idx="13">
                  <c:v>4759.6534021018733</c:v>
                </c:pt>
                <c:pt idx="14">
                  <c:v>5235.6187423120609</c:v>
                </c:pt>
                <c:pt idx="15">
                  <c:v>5759.1806165432672</c:v>
                </c:pt>
                <c:pt idx="16">
                  <c:v>6335.0986781975944</c:v>
                </c:pt>
                <c:pt idx="17">
                  <c:v>6500</c:v>
                </c:pt>
                <c:pt idx="18">
                  <c:v>6500</c:v>
                </c:pt>
                <c:pt idx="19">
                  <c:v>6500</c:v>
                </c:pt>
                <c:pt idx="20">
                  <c:v>6500</c:v>
                </c:pt>
                <c:pt idx="21">
                  <c:v>6500</c:v>
                </c:pt>
                <c:pt idx="22">
                  <c:v>6500</c:v>
                </c:pt>
                <c:pt idx="23">
                  <c:v>6500</c:v>
                </c:pt>
                <c:pt idx="24">
                  <c:v>6500</c:v>
                </c:pt>
                <c:pt idx="25">
                  <c:v>6500</c:v>
                </c:pt>
                <c:pt idx="26">
                  <c:v>6500</c:v>
                </c:pt>
                <c:pt idx="27">
                  <c:v>6500</c:v>
                </c:pt>
                <c:pt idx="28">
                  <c:v>6500</c:v>
                </c:pt>
                <c:pt idx="29">
                  <c:v>6500</c:v>
                </c:pt>
                <c:pt idx="30">
                  <c:v>6500</c:v>
                </c:pt>
                <c:pt idx="31">
                  <c:v>6500</c:v>
                </c:pt>
              </c:numCache>
            </c:numRef>
          </c:xVal>
          <c:yVal>
            <c:numRef>
              <c:f>'absorbing mode datasheet'!$T$100:$T$131</c:f>
              <c:numCache>
                <c:formatCode>0.0</c:formatCode>
                <c:ptCount val="32"/>
                <c:pt idx="0">
                  <c:v>0.8097369244310797</c:v>
                </c:pt>
                <c:pt idx="1">
                  <c:v>189.15454554710024</c:v>
                </c:pt>
                <c:pt idx="2">
                  <c:v>189.15454554710024</c:v>
                </c:pt>
                <c:pt idx="3">
                  <c:v>189.15454554710024</c:v>
                </c:pt>
                <c:pt idx="4">
                  <c:v>189.15454554710024</c:v>
                </c:pt>
                <c:pt idx="5">
                  <c:v>189.15454554710024</c:v>
                </c:pt>
                <c:pt idx="6">
                  <c:v>189.15454554710027</c:v>
                </c:pt>
                <c:pt idx="7">
                  <c:v>189.15454554710027</c:v>
                </c:pt>
                <c:pt idx="8">
                  <c:v>189.15454554710027</c:v>
                </c:pt>
                <c:pt idx="9">
                  <c:v>189.15454554710027</c:v>
                </c:pt>
                <c:pt idx="10">
                  <c:v>189.15454554710024</c:v>
                </c:pt>
                <c:pt idx="11">
                  <c:v>189.15454554710024</c:v>
                </c:pt>
                <c:pt idx="12">
                  <c:v>189.15454554710027</c:v>
                </c:pt>
                <c:pt idx="13">
                  <c:v>189.15454554710027</c:v>
                </c:pt>
                <c:pt idx="14">
                  <c:v>175.10103261995337</c:v>
                </c:pt>
                <c:pt idx="15">
                  <c:v>162.09164593900502</c:v>
                </c:pt>
                <c:pt idx="16">
                  <c:v>150.04881062147308</c:v>
                </c:pt>
                <c:pt idx="17">
                  <c:v>146.95791425113813</c:v>
                </c:pt>
                <c:pt idx="18">
                  <c:v>146.95791425113813</c:v>
                </c:pt>
                <c:pt idx="19">
                  <c:v>146.95791425113813</c:v>
                </c:pt>
                <c:pt idx="20">
                  <c:v>146.95791425113813</c:v>
                </c:pt>
                <c:pt idx="21">
                  <c:v>146.95791425113813</c:v>
                </c:pt>
                <c:pt idx="22">
                  <c:v>146.95791425113813</c:v>
                </c:pt>
                <c:pt idx="23">
                  <c:v>146.95791425113813</c:v>
                </c:pt>
                <c:pt idx="24">
                  <c:v>146.95791425113813</c:v>
                </c:pt>
                <c:pt idx="25">
                  <c:v>146.95791425113813</c:v>
                </c:pt>
                <c:pt idx="26">
                  <c:v>146.95791425113813</c:v>
                </c:pt>
                <c:pt idx="27">
                  <c:v>146.95791425113813</c:v>
                </c:pt>
                <c:pt idx="28">
                  <c:v>146.95791425113813</c:v>
                </c:pt>
                <c:pt idx="29">
                  <c:v>146.95791425113813</c:v>
                </c:pt>
                <c:pt idx="30">
                  <c:v>146.95791425113813</c:v>
                </c:pt>
                <c:pt idx="31">
                  <c:v>146.95791425113813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243C-4841-96AF-F9E1885E0019}"/>
            </c:ext>
          </c:extLst>
        </c:ser>
        <c:ser>
          <c:idx val="0"/>
          <c:order val="2"/>
          <c:tx>
            <c:strRef>
              <c:f>'absorbing mode datasheet'!$Q$99</c:f>
              <c:strCache>
                <c:ptCount val="1"/>
                <c:pt idx="0">
                  <c:v>kW S1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'absorbing mode datasheet'!$P$100:$P$131</c:f>
              <c:numCache>
                <c:formatCode>0</c:formatCode>
                <c:ptCount val="32"/>
                <c:pt idx="0">
                  <c:v>10</c:v>
                </c:pt>
                <c:pt idx="1">
                  <c:v>2336</c:v>
                </c:pt>
                <c:pt idx="2">
                  <c:v>2336</c:v>
                </c:pt>
                <c:pt idx="3">
                  <c:v>2752.4</c:v>
                </c:pt>
                <c:pt idx="4">
                  <c:v>3168.8</c:v>
                </c:pt>
                <c:pt idx="5">
                  <c:v>3585.2000000000003</c:v>
                </c:pt>
                <c:pt idx="6">
                  <c:v>4001.6000000000004</c:v>
                </c:pt>
                <c:pt idx="7">
                  <c:v>4418</c:v>
                </c:pt>
                <c:pt idx="8">
                  <c:v>4834.3999999999996</c:v>
                </c:pt>
                <c:pt idx="9">
                  <c:v>5250.7999999999993</c:v>
                </c:pt>
                <c:pt idx="10">
                  <c:v>5667.1999999999989</c:v>
                </c:pt>
                <c:pt idx="11">
                  <c:v>6083.5999999999985</c:v>
                </c:pt>
                <c:pt idx="12">
                  <c:v>6500</c:v>
                </c:pt>
                <c:pt idx="13">
                  <c:v>6500</c:v>
                </c:pt>
                <c:pt idx="14">
                  <c:v>6500</c:v>
                </c:pt>
                <c:pt idx="15">
                  <c:v>6500</c:v>
                </c:pt>
                <c:pt idx="16">
                  <c:v>6500</c:v>
                </c:pt>
                <c:pt idx="17">
                  <c:v>6500</c:v>
                </c:pt>
                <c:pt idx="18">
                  <c:v>6500</c:v>
                </c:pt>
                <c:pt idx="19">
                  <c:v>6500</c:v>
                </c:pt>
                <c:pt idx="20">
                  <c:v>6500</c:v>
                </c:pt>
                <c:pt idx="21">
                  <c:v>6500</c:v>
                </c:pt>
                <c:pt idx="22">
                  <c:v>6500</c:v>
                </c:pt>
                <c:pt idx="23">
                  <c:v>6500</c:v>
                </c:pt>
                <c:pt idx="24">
                  <c:v>6500</c:v>
                </c:pt>
                <c:pt idx="25">
                  <c:v>6500</c:v>
                </c:pt>
                <c:pt idx="26">
                  <c:v>6500</c:v>
                </c:pt>
                <c:pt idx="27">
                  <c:v>6500</c:v>
                </c:pt>
                <c:pt idx="28">
                  <c:v>6500</c:v>
                </c:pt>
                <c:pt idx="29">
                  <c:v>6500</c:v>
                </c:pt>
                <c:pt idx="30">
                  <c:v>6500</c:v>
                </c:pt>
                <c:pt idx="31">
                  <c:v>6500</c:v>
                </c:pt>
              </c:numCache>
            </c:numRef>
          </c:xVal>
          <c:yVal>
            <c:numRef>
              <c:f>'absorbing mode datasheet'!$Q$100:$Q$131</c:f>
              <c:numCache>
                <c:formatCode>0.0</c:formatCode>
                <c:ptCount val="32"/>
                <c:pt idx="0">
                  <c:v>2.0282459833888531</c:v>
                </c:pt>
                <c:pt idx="1">
                  <c:v>127.20518093895312</c:v>
                </c:pt>
                <c:pt idx="2">
                  <c:v>127.20518093895312</c:v>
                </c:pt>
                <c:pt idx="3">
                  <c:v>127.20518093895312</c:v>
                </c:pt>
                <c:pt idx="4">
                  <c:v>127.20518093895312</c:v>
                </c:pt>
                <c:pt idx="5">
                  <c:v>127.20518093895312</c:v>
                </c:pt>
                <c:pt idx="6">
                  <c:v>127.20518093895312</c:v>
                </c:pt>
                <c:pt idx="7">
                  <c:v>127.20518093895312</c:v>
                </c:pt>
                <c:pt idx="8">
                  <c:v>127.20518093895312</c:v>
                </c:pt>
                <c:pt idx="9">
                  <c:v>127.20518093895312</c:v>
                </c:pt>
                <c:pt idx="10">
                  <c:v>127.20518093895312</c:v>
                </c:pt>
                <c:pt idx="11">
                  <c:v>127.20518093895312</c:v>
                </c:pt>
                <c:pt idx="12">
                  <c:v>127.20518093895312</c:v>
                </c:pt>
                <c:pt idx="13">
                  <c:v>127.20518093895312</c:v>
                </c:pt>
                <c:pt idx="14">
                  <c:v>127.20518093895312</c:v>
                </c:pt>
                <c:pt idx="15">
                  <c:v>127.20518093895312</c:v>
                </c:pt>
                <c:pt idx="16">
                  <c:v>127.20518093895312</c:v>
                </c:pt>
                <c:pt idx="17">
                  <c:v>127.20518093895312</c:v>
                </c:pt>
                <c:pt idx="18">
                  <c:v>127.20518093895312</c:v>
                </c:pt>
                <c:pt idx="19">
                  <c:v>127.20518093895312</c:v>
                </c:pt>
                <c:pt idx="20">
                  <c:v>127.20518093895312</c:v>
                </c:pt>
                <c:pt idx="21">
                  <c:v>127.20518093895312</c:v>
                </c:pt>
                <c:pt idx="22">
                  <c:v>127.20518093895312</c:v>
                </c:pt>
                <c:pt idx="23">
                  <c:v>127.20518093895312</c:v>
                </c:pt>
                <c:pt idx="24">
                  <c:v>127.20518093895312</c:v>
                </c:pt>
                <c:pt idx="25">
                  <c:v>127.20518093895312</c:v>
                </c:pt>
                <c:pt idx="26">
                  <c:v>127.20518093895312</c:v>
                </c:pt>
                <c:pt idx="27">
                  <c:v>127.20518093895312</c:v>
                </c:pt>
                <c:pt idx="28">
                  <c:v>127.20518093895312</c:v>
                </c:pt>
                <c:pt idx="29">
                  <c:v>127.20518093895312</c:v>
                </c:pt>
                <c:pt idx="30">
                  <c:v>127.20518093895312</c:v>
                </c:pt>
                <c:pt idx="31">
                  <c:v>127.20518093895312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243C-4841-96AF-F9E1885E0019}"/>
            </c:ext>
          </c:extLst>
        </c:ser>
        <c:ser>
          <c:idx val="2"/>
          <c:order val="3"/>
          <c:tx>
            <c:strRef>
              <c:f>'absorbing mode datasheet'!$B$115</c:f>
              <c:strCache>
                <c:ptCount val="1"/>
                <c:pt idx="0">
                  <c:v>KW 1</c:v>
                </c:pt>
              </c:strCache>
            </c:strRef>
          </c:tx>
          <c:spPr>
            <a:ln w="38100">
              <a:solidFill>
                <a:srgbClr val="0000FF"/>
              </a:solidFill>
              <a:prstDash val="solid"/>
            </a:ln>
          </c:spPr>
          <c:marker>
            <c:symbol val="none"/>
          </c:marker>
          <c:xVal>
            <c:numRef>
              <c:f>'absorbing mode datasheet'!$A$116:$A$135</c:f>
              <c:numCache>
                <c:formatCode>0</c:formatCode>
                <c:ptCount val="20"/>
              </c:numCache>
            </c:numRef>
          </c:xVal>
          <c:yVal>
            <c:numRef>
              <c:f>'absorbing mode datasheet'!$B$116:$B$135</c:f>
              <c:numCache>
                <c:formatCode>0.0</c:formatCode>
                <c:ptCount val="20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243C-4841-96AF-F9E1885E0019}"/>
            </c:ext>
          </c:extLst>
        </c:ser>
        <c:ser>
          <c:idx val="3"/>
          <c:order val="4"/>
          <c:tx>
            <c:strRef>
              <c:f>'absorbing mode datasheet'!$C$115</c:f>
              <c:strCache>
                <c:ptCount val="1"/>
                <c:pt idx="0">
                  <c:v>KW 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'absorbing mode datasheet'!$A$116:$A$135</c:f>
              <c:numCache>
                <c:formatCode>0</c:formatCode>
                <c:ptCount val="20"/>
              </c:numCache>
            </c:numRef>
          </c:xVal>
          <c:yVal>
            <c:numRef>
              <c:f>'absorbing mode datasheet'!$C$116:$C$135</c:f>
              <c:numCache>
                <c:formatCode>0.0</c:formatCode>
                <c:ptCount val="20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9-243C-4841-96AF-F9E1885E0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8042880"/>
        <c:axId val="128053248"/>
      </c:scatterChart>
      <c:valAx>
        <c:axId val="128042880"/>
        <c:scaling>
          <c:orientation val="minMax"/>
        </c:scaling>
        <c:delete val="0"/>
        <c:axPos val="b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minorGridlines>
          <c:spPr>
            <a:ln w="3175">
              <a:solidFill>
                <a:schemeClr val="bg1">
                  <a:lumMod val="85000"/>
                </a:schemeClr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 Narrow" panose="020B0606020202030204" pitchFamily="34" charset="0"/>
                    <a:ea typeface="Arial"/>
                    <a:cs typeface="Arial"/>
                  </a:defRPr>
                </a:pPr>
                <a:r>
                  <a:rPr lang="es-ES" sz="1200">
                    <a:latin typeface="Arial Narrow" panose="020B0606020202030204" pitchFamily="34" charset="0"/>
                  </a:rPr>
                  <a:t>rpm</a:t>
                </a:r>
              </a:p>
            </c:rich>
          </c:tx>
          <c:layout>
            <c:manualLayout>
              <c:xMode val="edge"/>
              <c:yMode val="edge"/>
              <c:x val="0.51254803893314993"/>
              <c:y val="0.9181084182658988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en-US"/>
          </a:p>
        </c:txPr>
        <c:crossAx val="128053248"/>
        <c:crosses val="autoZero"/>
        <c:crossBetween val="midCat"/>
      </c:valAx>
      <c:valAx>
        <c:axId val="12805324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minorGridlines>
          <c:spPr>
            <a:ln w="3175">
              <a:solidFill>
                <a:schemeClr val="bg1">
                  <a:lumMod val="85000"/>
                </a:schemeClr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 Narrow" panose="020B0606020202030204" pitchFamily="34" charset="0"/>
                    <a:ea typeface="Arial"/>
                    <a:cs typeface="Arial"/>
                  </a:defRPr>
                </a:pPr>
                <a:r>
                  <a:rPr lang="es-ES" sz="1200">
                    <a:latin typeface="Arial Narrow" panose="020B0606020202030204" pitchFamily="34" charset="0"/>
                  </a:rPr>
                  <a:t>Nm</a:t>
                </a:r>
              </a:p>
            </c:rich>
          </c:tx>
          <c:layout>
            <c:manualLayout>
              <c:xMode val="edge"/>
              <c:yMode val="edge"/>
              <c:x val="2.0124749112243337E-2"/>
              <c:y val="0.42230438466008186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en-US"/>
          </a:p>
        </c:txPr>
        <c:crossAx val="128042880"/>
        <c:crosses val="autoZero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0091672070402967"/>
          <c:y val="0.10766861950679985"/>
          <c:w val="0.86000370541917581"/>
          <c:h val="7.426522128794810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 Narrow" panose="020B0606020202030204" pitchFamily="34" charset="0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" footer="0"/>
    <c:pageSetup paperSize="9" orientation="landscape" horizontalDpi="1200" verticalDpi="12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r>
              <a:rPr lang="es-ES" sz="1200" b="1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cs typeface="Arial"/>
              </a:rPr>
              <a:t>Curva de Par / Torque Diagram</a:t>
            </a:r>
          </a:p>
        </c:rich>
      </c:tx>
      <c:layout>
        <c:manualLayout>
          <c:xMode val="edge"/>
          <c:yMode val="edge"/>
          <c:x val="0.35427833873706976"/>
          <c:y val="3.03687039120109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319085996603371"/>
          <c:y val="0.18568292146276591"/>
          <c:w val="0.86151563995676972"/>
          <c:h val="0.67023076453225727"/>
        </c:manualLayout>
      </c:layout>
      <c:scatterChart>
        <c:scatterStyle val="smoothMarker"/>
        <c:varyColors val="0"/>
        <c:ser>
          <c:idx val="4"/>
          <c:order val="0"/>
          <c:tx>
            <c:strRef>
              <c:f>'absorbing mode datasheet'!$X$99</c:f>
              <c:strCache>
                <c:ptCount val="1"/>
                <c:pt idx="0">
                  <c:v>Nm Limit</c:v>
                </c:pt>
              </c:strCache>
            </c:strRef>
          </c:tx>
          <c:spPr>
            <a:ln>
              <a:solidFill>
                <a:schemeClr val="bg1">
                  <a:lumMod val="6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'absorbing mode datasheet'!$V$100:$V$130</c:f>
              <c:numCache>
                <c:formatCode>0</c:formatCode>
                <c:ptCount val="31"/>
                <c:pt idx="0">
                  <c:v>10</c:v>
                </c:pt>
                <c:pt idx="1">
                  <c:v>1920.781115106123</c:v>
                </c:pt>
                <c:pt idx="2">
                  <c:v>1920.781115106123</c:v>
                </c:pt>
                <c:pt idx="3">
                  <c:v>2112.8592266167357</c:v>
                </c:pt>
                <c:pt idx="4">
                  <c:v>2324.1451492784095</c:v>
                </c:pt>
                <c:pt idx="5">
                  <c:v>2556.5596642062505</c:v>
                </c:pt>
                <c:pt idx="6">
                  <c:v>2812.2156306268757</c:v>
                </c:pt>
                <c:pt idx="7">
                  <c:v>3093.4371936895636</c:v>
                </c:pt>
                <c:pt idx="8">
                  <c:v>3402.7809130585201</c:v>
                </c:pt>
                <c:pt idx="9">
                  <c:v>3743.0590043643724</c:v>
                </c:pt>
                <c:pt idx="10">
                  <c:v>4117.3649048008101</c:v>
                </c:pt>
                <c:pt idx="11">
                  <c:v>4529.1013952808917</c:v>
                </c:pt>
                <c:pt idx="12">
                  <c:v>4982.0115348089812</c:v>
                </c:pt>
                <c:pt idx="13">
                  <c:v>5480.2126882898801</c:v>
                </c:pt>
                <c:pt idx="14">
                  <c:v>6028.2339571188686</c:v>
                </c:pt>
                <c:pt idx="15">
                  <c:v>6500</c:v>
                </c:pt>
                <c:pt idx="16">
                  <c:v>6500</c:v>
                </c:pt>
                <c:pt idx="17">
                  <c:v>6500</c:v>
                </c:pt>
                <c:pt idx="18">
                  <c:v>6500</c:v>
                </c:pt>
                <c:pt idx="19">
                  <c:v>6500</c:v>
                </c:pt>
                <c:pt idx="20">
                  <c:v>6500</c:v>
                </c:pt>
                <c:pt idx="21">
                  <c:v>6500</c:v>
                </c:pt>
                <c:pt idx="22">
                  <c:v>6500</c:v>
                </c:pt>
                <c:pt idx="23">
                  <c:v>6500</c:v>
                </c:pt>
                <c:pt idx="24">
                  <c:v>6500</c:v>
                </c:pt>
                <c:pt idx="25">
                  <c:v>6500</c:v>
                </c:pt>
                <c:pt idx="26">
                  <c:v>6500</c:v>
                </c:pt>
                <c:pt idx="27">
                  <c:v>6500</c:v>
                </c:pt>
                <c:pt idx="28">
                  <c:v>6500</c:v>
                </c:pt>
                <c:pt idx="29">
                  <c:v>6500</c:v>
                </c:pt>
                <c:pt idx="30">
                  <c:v>6500</c:v>
                </c:pt>
              </c:numCache>
            </c:numRef>
          </c:xVal>
          <c:yVal>
            <c:numRef>
              <c:f>'absorbing mode datasheet'!$X$100:$X$130</c:f>
              <c:numCache>
                <c:formatCode>0.0</c:formatCode>
                <c:ptCount val="31"/>
                <c:pt idx="0">
                  <c:v>2152.0358270841211</c:v>
                </c:pt>
                <c:pt idx="1">
                  <c:v>2152.0358270841211</c:v>
                </c:pt>
                <c:pt idx="2">
                  <c:v>2152.0358270841211</c:v>
                </c:pt>
                <c:pt idx="3">
                  <c:v>1811.0428960118331</c:v>
                </c:pt>
                <c:pt idx="4">
                  <c:v>1524.0807471309445</c:v>
                </c:pt>
                <c:pt idx="5">
                  <c:v>1282.5881313415568</c:v>
                </c:pt>
                <c:pt idx="6">
                  <c:v>1079.360340818537</c:v>
                </c:pt>
                <c:pt idx="7">
                  <c:v>908.33426324733409</c:v>
                </c:pt>
                <c:pt idx="8">
                  <c:v>764.40749450121689</c:v>
                </c:pt>
                <c:pt idx="9">
                  <c:v>643.28611315471358</c:v>
                </c:pt>
                <c:pt idx="10">
                  <c:v>541.35657532729761</c:v>
                </c:pt>
                <c:pt idx="11">
                  <c:v>455.57790795899859</c:v>
                </c:pt>
                <c:pt idx="12">
                  <c:v>383.39098420447726</c:v>
                </c:pt>
                <c:pt idx="13">
                  <c:v>322.64217426123849</c:v>
                </c:pt>
                <c:pt idx="14">
                  <c:v>271.51909382537781</c:v>
                </c:pt>
                <c:pt idx="15">
                  <c:v>236.9033921395569</c:v>
                </c:pt>
                <c:pt idx="16">
                  <c:v>236.9033921395569</c:v>
                </c:pt>
                <c:pt idx="17">
                  <c:v>236.9033921395569</c:v>
                </c:pt>
                <c:pt idx="18">
                  <c:v>236.9033921395569</c:v>
                </c:pt>
                <c:pt idx="19">
                  <c:v>236.9033921395569</c:v>
                </c:pt>
                <c:pt idx="20">
                  <c:v>236.9033921395569</c:v>
                </c:pt>
                <c:pt idx="21">
                  <c:v>236.9033921395569</c:v>
                </c:pt>
                <c:pt idx="22">
                  <c:v>236.9033921395569</c:v>
                </c:pt>
                <c:pt idx="23">
                  <c:v>236.9033921395569</c:v>
                </c:pt>
                <c:pt idx="24">
                  <c:v>236.9033921395569</c:v>
                </c:pt>
                <c:pt idx="25">
                  <c:v>236.9033921395569</c:v>
                </c:pt>
                <c:pt idx="26">
                  <c:v>236.9033921395569</c:v>
                </c:pt>
                <c:pt idx="27">
                  <c:v>236.9033921395569</c:v>
                </c:pt>
                <c:pt idx="28">
                  <c:v>236.9033921395569</c:v>
                </c:pt>
                <c:pt idx="29">
                  <c:v>236.9033921395569</c:v>
                </c:pt>
                <c:pt idx="30">
                  <c:v>236.9033921395569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4C6-4A17-AE20-8C821717D04F}"/>
            </c:ext>
          </c:extLst>
        </c:ser>
        <c:ser>
          <c:idx val="1"/>
          <c:order val="1"/>
          <c:tx>
            <c:strRef>
              <c:f>'absorbing mode datasheet'!$U$99</c:f>
              <c:strCache>
                <c:ptCount val="1"/>
                <c:pt idx="0">
                  <c:v>Nm S6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'absorbing mode datasheet'!$S$100:$S$130</c:f>
              <c:numCache>
                <c:formatCode>0</c:formatCode>
                <c:ptCount val="31"/>
                <c:pt idx="0">
                  <c:v>10</c:v>
                </c:pt>
                <c:pt idx="1">
                  <c:v>2336</c:v>
                </c:pt>
                <c:pt idx="2">
                  <c:v>2336</c:v>
                </c:pt>
                <c:pt idx="3">
                  <c:v>2578.3653402101872</c:v>
                </c:pt>
                <c:pt idx="4">
                  <c:v>2820.7306804203745</c:v>
                </c:pt>
                <c:pt idx="5">
                  <c:v>3063.0960206305617</c:v>
                </c:pt>
                <c:pt idx="6">
                  <c:v>3305.461360840749</c:v>
                </c:pt>
                <c:pt idx="7">
                  <c:v>3547.8267010509362</c:v>
                </c:pt>
                <c:pt idx="8">
                  <c:v>3790.1920412611234</c:v>
                </c:pt>
                <c:pt idx="9">
                  <c:v>4032.5573814713107</c:v>
                </c:pt>
                <c:pt idx="10">
                  <c:v>4274.9227216814979</c:v>
                </c:pt>
                <c:pt idx="11">
                  <c:v>4517.2880618916852</c:v>
                </c:pt>
                <c:pt idx="12">
                  <c:v>4759.6534021018733</c:v>
                </c:pt>
                <c:pt idx="13">
                  <c:v>4759.6534021018733</c:v>
                </c:pt>
                <c:pt idx="14">
                  <c:v>5235.6187423120609</c:v>
                </c:pt>
                <c:pt idx="15">
                  <c:v>5759.1806165432672</c:v>
                </c:pt>
                <c:pt idx="16">
                  <c:v>6335.0986781975944</c:v>
                </c:pt>
                <c:pt idx="17">
                  <c:v>6500</c:v>
                </c:pt>
                <c:pt idx="18">
                  <c:v>6500</c:v>
                </c:pt>
                <c:pt idx="19">
                  <c:v>6500</c:v>
                </c:pt>
                <c:pt idx="20">
                  <c:v>6500</c:v>
                </c:pt>
                <c:pt idx="21">
                  <c:v>6500</c:v>
                </c:pt>
                <c:pt idx="22">
                  <c:v>6500</c:v>
                </c:pt>
                <c:pt idx="23">
                  <c:v>6500</c:v>
                </c:pt>
                <c:pt idx="24">
                  <c:v>6500</c:v>
                </c:pt>
                <c:pt idx="25">
                  <c:v>6500</c:v>
                </c:pt>
                <c:pt idx="26">
                  <c:v>6500</c:v>
                </c:pt>
                <c:pt idx="27">
                  <c:v>6500</c:v>
                </c:pt>
                <c:pt idx="28">
                  <c:v>6500</c:v>
                </c:pt>
                <c:pt idx="29">
                  <c:v>6500</c:v>
                </c:pt>
                <c:pt idx="30">
                  <c:v>6500</c:v>
                </c:pt>
              </c:numCache>
            </c:numRef>
          </c:xVal>
          <c:yVal>
            <c:numRef>
              <c:f>'absorbing mode datasheet'!$U$100:$U$130</c:f>
              <c:numCache>
                <c:formatCode>0.0</c:formatCode>
                <c:ptCount val="31"/>
                <c:pt idx="0">
                  <c:v>773.24180476340916</c:v>
                </c:pt>
                <c:pt idx="1">
                  <c:v>773.24180476340916</c:v>
                </c:pt>
                <c:pt idx="2">
                  <c:v>773.24180476340916</c:v>
                </c:pt>
                <c:pt idx="3">
                  <c:v>700.55737554247287</c:v>
                </c:pt>
                <c:pt idx="4">
                  <c:v>640.36345917935398</c:v>
                </c:pt>
                <c:pt idx="5">
                  <c:v>589.69514627082594</c:v>
                </c:pt>
                <c:pt idx="6">
                  <c:v>546.45710802315682</c:v>
                </c:pt>
                <c:pt idx="7">
                  <c:v>509.12657469776207</c:v>
                </c:pt>
                <c:pt idx="8">
                  <c:v>476.57027302666972</c:v>
                </c:pt>
                <c:pt idx="9">
                  <c:v>447.9273783497369</c:v>
                </c:pt>
                <c:pt idx="10">
                  <c:v>422.53228269278208</c:v>
                </c:pt>
                <c:pt idx="11">
                  <c:v>399.8622251180746</c:v>
                </c:pt>
                <c:pt idx="12">
                  <c:v>379.50092230027951</c:v>
                </c:pt>
                <c:pt idx="13">
                  <c:v>379.50092230027951</c:v>
                </c:pt>
                <c:pt idx="14">
                  <c:v>319.36849782519647</c:v>
                </c:pt>
                <c:pt idx="15">
                  <c:v>268.76413576254276</c:v>
                </c:pt>
                <c:pt idx="16">
                  <c:v>226.17810198588609</c:v>
                </c:pt>
                <c:pt idx="17">
                  <c:v>215.89918596501715</c:v>
                </c:pt>
                <c:pt idx="18">
                  <c:v>215.89918596501715</c:v>
                </c:pt>
                <c:pt idx="19">
                  <c:v>215.89918596501715</c:v>
                </c:pt>
                <c:pt idx="20">
                  <c:v>215.89918596501715</c:v>
                </c:pt>
                <c:pt idx="21">
                  <c:v>215.89918596501715</c:v>
                </c:pt>
                <c:pt idx="22">
                  <c:v>215.89918596501715</c:v>
                </c:pt>
                <c:pt idx="23">
                  <c:v>215.89918596501715</c:v>
                </c:pt>
                <c:pt idx="24">
                  <c:v>215.89918596501715</c:v>
                </c:pt>
                <c:pt idx="25">
                  <c:v>215.89918596501715</c:v>
                </c:pt>
                <c:pt idx="26">
                  <c:v>215.89918596501715</c:v>
                </c:pt>
                <c:pt idx="27">
                  <c:v>215.89918596501715</c:v>
                </c:pt>
                <c:pt idx="28">
                  <c:v>215.89918596501715</c:v>
                </c:pt>
                <c:pt idx="29">
                  <c:v>215.89918596501715</c:v>
                </c:pt>
                <c:pt idx="30">
                  <c:v>215.89918596501715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34C6-4A17-AE20-8C821717D04F}"/>
            </c:ext>
          </c:extLst>
        </c:ser>
        <c:ser>
          <c:idx val="0"/>
          <c:order val="2"/>
          <c:tx>
            <c:strRef>
              <c:f>'absorbing mode datasheet'!$S$99</c:f>
              <c:strCache>
                <c:ptCount val="1"/>
                <c:pt idx="0">
                  <c:v>rpm S6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'absorbing mode datasheet'!$P$100:$P$130</c:f>
              <c:numCache>
                <c:formatCode>0</c:formatCode>
                <c:ptCount val="31"/>
                <c:pt idx="0">
                  <c:v>10</c:v>
                </c:pt>
                <c:pt idx="1">
                  <c:v>2336</c:v>
                </c:pt>
                <c:pt idx="2">
                  <c:v>2336</c:v>
                </c:pt>
                <c:pt idx="3">
                  <c:v>2752.4</c:v>
                </c:pt>
                <c:pt idx="4">
                  <c:v>3168.8</c:v>
                </c:pt>
                <c:pt idx="5">
                  <c:v>3585.2000000000003</c:v>
                </c:pt>
                <c:pt idx="6">
                  <c:v>4001.6000000000004</c:v>
                </c:pt>
                <c:pt idx="7">
                  <c:v>4418</c:v>
                </c:pt>
                <c:pt idx="8">
                  <c:v>4834.3999999999996</c:v>
                </c:pt>
                <c:pt idx="9">
                  <c:v>5250.7999999999993</c:v>
                </c:pt>
                <c:pt idx="10">
                  <c:v>5667.1999999999989</c:v>
                </c:pt>
                <c:pt idx="11">
                  <c:v>6083.5999999999985</c:v>
                </c:pt>
                <c:pt idx="12">
                  <c:v>6500</c:v>
                </c:pt>
                <c:pt idx="13">
                  <c:v>6500</c:v>
                </c:pt>
                <c:pt idx="14">
                  <c:v>6500</c:v>
                </c:pt>
                <c:pt idx="15">
                  <c:v>6500</c:v>
                </c:pt>
                <c:pt idx="16">
                  <c:v>6500</c:v>
                </c:pt>
                <c:pt idx="17">
                  <c:v>6500</c:v>
                </c:pt>
                <c:pt idx="18">
                  <c:v>6500</c:v>
                </c:pt>
                <c:pt idx="19">
                  <c:v>6500</c:v>
                </c:pt>
                <c:pt idx="20">
                  <c:v>6500</c:v>
                </c:pt>
                <c:pt idx="21">
                  <c:v>6500</c:v>
                </c:pt>
                <c:pt idx="22">
                  <c:v>6500</c:v>
                </c:pt>
                <c:pt idx="23">
                  <c:v>6500</c:v>
                </c:pt>
                <c:pt idx="24">
                  <c:v>6500</c:v>
                </c:pt>
                <c:pt idx="25">
                  <c:v>6500</c:v>
                </c:pt>
                <c:pt idx="26">
                  <c:v>6500</c:v>
                </c:pt>
                <c:pt idx="27">
                  <c:v>6500</c:v>
                </c:pt>
                <c:pt idx="28">
                  <c:v>6500</c:v>
                </c:pt>
                <c:pt idx="29">
                  <c:v>6500</c:v>
                </c:pt>
                <c:pt idx="30">
                  <c:v>6500</c:v>
                </c:pt>
              </c:numCache>
            </c:numRef>
          </c:xVal>
          <c:yVal>
            <c:numRef>
              <c:f>'absorbing mode datasheet'!$R$100:$R$130</c:f>
              <c:numCache>
                <c:formatCode>0.0</c:formatCode>
                <c:ptCount val="31"/>
                <c:pt idx="0">
                  <c:v>520</c:v>
                </c:pt>
                <c:pt idx="1">
                  <c:v>520</c:v>
                </c:pt>
                <c:pt idx="2">
                  <c:v>520</c:v>
                </c:pt>
                <c:pt idx="3">
                  <c:v>441.33120186019471</c:v>
                </c:pt>
                <c:pt idx="4">
                  <c:v>383.33754102499364</c:v>
                </c:pt>
                <c:pt idx="5">
                  <c:v>338.81512886310384</c:v>
                </c:pt>
                <c:pt idx="6">
                  <c:v>303.55857656937224</c:v>
                </c:pt>
                <c:pt idx="7">
                  <c:v>274.94794024445451</c:v>
                </c:pt>
                <c:pt idx="8">
                  <c:v>251.26592751944401</c:v>
                </c:pt>
                <c:pt idx="9">
                  <c:v>231.33998628780378</c:v>
                </c:pt>
                <c:pt idx="10">
                  <c:v>214.34217955957089</c:v>
                </c:pt>
                <c:pt idx="11">
                  <c:v>199.67124728779018</c:v>
                </c:pt>
                <c:pt idx="12">
                  <c:v>186.88</c:v>
                </c:pt>
                <c:pt idx="13">
                  <c:v>186.88</c:v>
                </c:pt>
                <c:pt idx="14">
                  <c:v>186.88</c:v>
                </c:pt>
                <c:pt idx="15">
                  <c:v>186.88</c:v>
                </c:pt>
                <c:pt idx="16">
                  <c:v>186.88</c:v>
                </c:pt>
                <c:pt idx="17">
                  <c:v>186.88</c:v>
                </c:pt>
                <c:pt idx="18">
                  <c:v>186.88</c:v>
                </c:pt>
                <c:pt idx="19">
                  <c:v>186.88</c:v>
                </c:pt>
                <c:pt idx="20">
                  <c:v>186.88</c:v>
                </c:pt>
                <c:pt idx="21">
                  <c:v>186.88</c:v>
                </c:pt>
                <c:pt idx="22">
                  <c:v>186.88</c:v>
                </c:pt>
                <c:pt idx="23">
                  <c:v>186.88</c:v>
                </c:pt>
                <c:pt idx="24">
                  <c:v>186.88</c:v>
                </c:pt>
                <c:pt idx="25">
                  <c:v>186.88</c:v>
                </c:pt>
                <c:pt idx="26">
                  <c:v>186.88</c:v>
                </c:pt>
                <c:pt idx="27">
                  <c:v>186.88</c:v>
                </c:pt>
                <c:pt idx="28">
                  <c:v>186.88</c:v>
                </c:pt>
                <c:pt idx="29">
                  <c:v>186.88</c:v>
                </c:pt>
                <c:pt idx="30">
                  <c:v>186.88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34C6-4A17-AE20-8C821717D04F}"/>
            </c:ext>
          </c:extLst>
        </c:ser>
        <c:ser>
          <c:idx val="2"/>
          <c:order val="3"/>
          <c:tx>
            <c:strRef>
              <c:f>'absorbing mode datasheet'!$B$91</c:f>
              <c:strCache>
                <c:ptCount val="1"/>
                <c:pt idx="0">
                  <c:v>Nm 1</c:v>
                </c:pt>
              </c:strCache>
            </c:strRef>
          </c:tx>
          <c:spPr>
            <a:ln w="38100">
              <a:solidFill>
                <a:srgbClr val="0000FF"/>
              </a:solidFill>
              <a:prstDash val="solid"/>
            </a:ln>
          </c:spPr>
          <c:marker>
            <c:symbol val="none"/>
          </c:marker>
          <c:xVal>
            <c:numRef>
              <c:f>'absorbing mode datasheet'!$A$92:$A$111</c:f>
              <c:numCache>
                <c:formatCode>0</c:formatCode>
                <c:ptCount val="20"/>
              </c:numCache>
            </c:numRef>
          </c:xVal>
          <c:yVal>
            <c:numRef>
              <c:f>'absorbing mode datasheet'!$B$92:$B$111</c:f>
              <c:numCache>
                <c:formatCode>0</c:formatCode>
                <c:ptCount val="20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34C6-4A17-AE20-8C821717D04F}"/>
            </c:ext>
          </c:extLst>
        </c:ser>
        <c:ser>
          <c:idx val="3"/>
          <c:order val="4"/>
          <c:tx>
            <c:strRef>
              <c:f>'absorbing mode datasheet'!$C$91</c:f>
              <c:strCache>
                <c:ptCount val="1"/>
                <c:pt idx="0">
                  <c:v>Nm 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'absorbing mode datasheet'!$A$92:$A$111</c:f>
              <c:numCache>
                <c:formatCode>0</c:formatCode>
                <c:ptCount val="20"/>
              </c:numCache>
            </c:numRef>
          </c:xVal>
          <c:yVal>
            <c:numRef>
              <c:f>'absorbing mode datasheet'!$C$92:$C$111</c:f>
              <c:numCache>
                <c:formatCode>0</c:formatCode>
                <c:ptCount val="20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9-34C6-4A17-AE20-8C821717D0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8060416"/>
        <c:axId val="128078976"/>
      </c:scatterChart>
      <c:valAx>
        <c:axId val="128060416"/>
        <c:scaling>
          <c:orientation val="minMax"/>
        </c:scaling>
        <c:delete val="0"/>
        <c:axPos val="b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minorGridlines>
          <c:spPr>
            <a:ln w="3175">
              <a:solidFill>
                <a:schemeClr val="bg1">
                  <a:lumMod val="85000"/>
                </a:schemeClr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 Narrow" panose="020B0606020202030204" pitchFamily="34" charset="0"/>
                    <a:ea typeface="Arial"/>
                    <a:cs typeface="Arial"/>
                  </a:defRPr>
                </a:pPr>
                <a:r>
                  <a:rPr lang="es-ES" sz="1200">
                    <a:latin typeface="Arial Narrow" panose="020B0606020202030204" pitchFamily="34" charset="0"/>
                  </a:rPr>
                  <a:t>rpm</a:t>
                </a:r>
              </a:p>
            </c:rich>
          </c:tx>
          <c:layout>
            <c:manualLayout>
              <c:xMode val="edge"/>
              <c:yMode val="edge"/>
              <c:x val="0.51254803893314993"/>
              <c:y val="0.9181084182658988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en-US"/>
          </a:p>
        </c:txPr>
        <c:crossAx val="128078976"/>
        <c:crosses val="autoZero"/>
        <c:crossBetween val="midCat"/>
      </c:valAx>
      <c:valAx>
        <c:axId val="128078976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minorGridlines>
          <c:spPr>
            <a:ln w="3175">
              <a:solidFill>
                <a:schemeClr val="bg1">
                  <a:lumMod val="85000"/>
                </a:schemeClr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 Narrow" panose="020B0606020202030204" pitchFamily="34" charset="0"/>
                    <a:ea typeface="Arial"/>
                    <a:cs typeface="Arial"/>
                  </a:defRPr>
                </a:pPr>
                <a:r>
                  <a:rPr lang="es-ES" sz="1200">
                    <a:latin typeface="Arial Narrow" panose="020B0606020202030204" pitchFamily="34" charset="0"/>
                  </a:rPr>
                  <a:t>Nm</a:t>
                </a:r>
              </a:p>
            </c:rich>
          </c:tx>
          <c:layout>
            <c:manualLayout>
              <c:xMode val="edge"/>
              <c:yMode val="edge"/>
              <c:x val="2.0124749112243337E-2"/>
              <c:y val="0.42230438466008186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en-US"/>
          </a:p>
        </c:txPr>
        <c:crossAx val="128060416"/>
        <c:crosses val="autoZero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0091672070402967"/>
          <c:y val="0.10766861950679985"/>
          <c:w val="0.86000370541917581"/>
          <c:h val="7.426522128794810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 Narrow" panose="020B0606020202030204" pitchFamily="34" charset="0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" footer="0"/>
    <c:pageSetup paperSize="9" orientation="landscape" horizontalDpi="1200" verticalDpi="12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Nm vs rpm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972618881545025"/>
          <c:y val="0.16050010896652361"/>
          <c:w val="0.75843133773564109"/>
          <c:h val="0.72395367482622797"/>
        </c:manualLayout>
      </c:layout>
      <c:scatterChart>
        <c:scatterStyle val="smoothMarker"/>
        <c:varyColors val="0"/>
        <c:ser>
          <c:idx val="1"/>
          <c:order val="0"/>
          <c:tx>
            <c:strRef>
              <c:f>'limit 480V'!$E$1</c:f>
              <c:strCache>
                <c:ptCount val="1"/>
                <c:pt idx="0">
                  <c:v>Corba parell-velocitat a Nnom</c:v>
                </c:pt>
              </c:strCache>
            </c:strRef>
          </c:tx>
          <c:marker>
            <c:symbol val="none"/>
          </c:marker>
          <c:xVal>
            <c:numRef>
              <c:f>'limit 480V'!$I$3:$I$25</c:f>
              <c:numCache>
                <c:formatCode>0</c:formatCode>
                <c:ptCount val="23"/>
                <c:pt idx="0">
                  <c:v>1262.9999989999999</c:v>
                </c:pt>
                <c:pt idx="1">
                  <c:v>1262.9999989999999</c:v>
                </c:pt>
                <c:pt idx="2">
                  <c:v>1262.9999989999999</c:v>
                </c:pt>
                <c:pt idx="3">
                  <c:v>1262.9999989999999</c:v>
                </c:pt>
                <c:pt idx="4">
                  <c:v>1262.9999989999999</c:v>
                </c:pt>
                <c:pt idx="5">
                  <c:v>1262.9999989999999</c:v>
                </c:pt>
                <c:pt idx="6">
                  <c:v>1262.9999989999999</c:v>
                </c:pt>
                <c:pt idx="7">
                  <c:v>1262.9999989999999</c:v>
                </c:pt>
                <c:pt idx="8">
                  <c:v>1262.9999989999999</c:v>
                </c:pt>
                <c:pt idx="9">
                  <c:v>1262.9999989999999</c:v>
                </c:pt>
                <c:pt idx="10">
                  <c:v>1262.9999989999999</c:v>
                </c:pt>
                <c:pt idx="11">
                  <c:v>1262.9999989999999</c:v>
                </c:pt>
                <c:pt idx="12">
                  <c:v>1262.9999989999999</c:v>
                </c:pt>
                <c:pt idx="13">
                  <c:v>1262.9999989999999</c:v>
                </c:pt>
                <c:pt idx="14">
                  <c:v>1262.9999989999999</c:v>
                </c:pt>
                <c:pt idx="15">
                  <c:v>1262.9999989999999</c:v>
                </c:pt>
                <c:pt idx="16">
                  <c:v>1262.9999989999999</c:v>
                </c:pt>
                <c:pt idx="17">
                  <c:v>1262.9999989999999</c:v>
                </c:pt>
                <c:pt idx="18">
                  <c:v>1262.9999989999999</c:v>
                </c:pt>
                <c:pt idx="19">
                  <c:v>1262.9999989999999</c:v>
                </c:pt>
                <c:pt idx="20">
                  <c:v>1262.9999989999999</c:v>
                </c:pt>
              </c:numCache>
            </c:numRef>
          </c:xVal>
          <c:yVal>
            <c:numRef>
              <c:f>'limit 480V'!$K$3:$K$25</c:f>
              <c:numCache>
                <c:formatCode>0</c:formatCode>
                <c:ptCount val="23"/>
                <c:pt idx="0">
                  <c:v>2.20101730737069E-5</c:v>
                </c:pt>
                <c:pt idx="1">
                  <c:v>300.2790778503213</c:v>
                </c:pt>
                <c:pt idx="2">
                  <c:v>606.701490316697</c:v>
                </c:pt>
                <c:pt idx="3">
                  <c:v>759.62562824830252</c:v>
                </c:pt>
                <c:pt idx="4">
                  <c:v>906.90534216530364</c:v>
                </c:pt>
                <c:pt idx="5">
                  <c:v>1048.5195652696941</c:v>
                </c:pt>
                <c:pt idx="6">
                  <c:v>1184.4523061112689</c:v>
                </c:pt>
                <c:pt idx="7">
                  <c:v>1314.6926383568061</c:v>
                </c:pt>
                <c:pt idx="8">
                  <c:v>1439.2346876557826</c:v>
                </c:pt>
                <c:pt idx="9">
                  <c:v>1558.0776156025941</c:v>
                </c:pt>
                <c:pt idx="10">
                  <c:v>1671.2256007953074</c:v>
                </c:pt>
                <c:pt idx="11">
                  <c:v>1778.6878169909239</c:v>
                </c:pt>
                <c:pt idx="12">
                  <c:v>1880.4784083571749</c:v>
                </c:pt>
                <c:pt idx="13">
                  <c:v>1976.6164618208281</c:v>
                </c:pt>
                <c:pt idx="14">
                  <c:v>2067.125976512516</c:v>
                </c:pt>
                <c:pt idx="15">
                  <c:v>2152.0358303080948</c:v>
                </c:pt>
                <c:pt idx="16">
                  <c:v>2166.5225517894332</c:v>
                </c:pt>
                <c:pt idx="17">
                  <c:v>2166.5142861151744</c:v>
                </c:pt>
                <c:pt idx="18">
                  <c:v>362.33327376743262</c:v>
                </c:pt>
                <c:pt idx="19">
                  <c:v>371.74022202691242</c:v>
                </c:pt>
                <c:pt idx="20">
                  <c:v>379.53332088202842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A5D-4CF0-9332-DE06E24DDBD5}"/>
            </c:ext>
          </c:extLst>
        </c:ser>
        <c:ser>
          <c:idx val="3"/>
          <c:order val="1"/>
          <c:tx>
            <c:strRef>
              <c:f>'limit 480V'!$E$25</c:f>
              <c:strCache>
                <c:ptCount val="1"/>
                <c:pt idx="0">
                  <c:v>Limit 480V</c:v>
                </c:pt>
              </c:strCache>
            </c:strRef>
          </c:tx>
          <c:xVal>
            <c:numRef>
              <c:f>'limit 480V'!$I$27:$I$56</c:f>
              <c:numCache>
                <c:formatCode>0</c:formatCode>
                <c:ptCount val="30"/>
                <c:pt idx="0">
                  <c:v>1263</c:v>
                </c:pt>
                <c:pt idx="1">
                  <c:v>1479.5409090909093</c:v>
                </c:pt>
                <c:pt idx="2">
                  <c:v>1696.0818181818183</c:v>
                </c:pt>
                <c:pt idx="3">
                  <c:v>1912.6227272727274</c:v>
                </c:pt>
                <c:pt idx="4">
                  <c:v>2129.1636363636367</c:v>
                </c:pt>
                <c:pt idx="5">
                  <c:v>2345.704545454546</c:v>
                </c:pt>
                <c:pt idx="6">
                  <c:v>2562.2454545454548</c:v>
                </c:pt>
                <c:pt idx="7">
                  <c:v>2778.7863636363641</c:v>
                </c:pt>
                <c:pt idx="8">
                  <c:v>2995.3272727272733</c:v>
                </c:pt>
                <c:pt idx="9">
                  <c:v>3211.8681818181826</c:v>
                </c:pt>
                <c:pt idx="10">
                  <c:v>3428.4090909090919</c:v>
                </c:pt>
                <c:pt idx="11">
                  <c:v>3644.9500000000007</c:v>
                </c:pt>
                <c:pt idx="12">
                  <c:v>3861.4909090909091</c:v>
                </c:pt>
                <c:pt idx="13">
                  <c:v>4078.0318181818184</c:v>
                </c:pt>
                <c:pt idx="14">
                  <c:v>4294.5727272727263</c:v>
                </c:pt>
                <c:pt idx="15">
                  <c:v>4511.113636363636</c:v>
                </c:pt>
                <c:pt idx="16">
                  <c:v>4727.6545454545439</c:v>
                </c:pt>
                <c:pt idx="17">
                  <c:v>4944.1954545454528</c:v>
                </c:pt>
                <c:pt idx="18">
                  <c:v>5160.7363636363616</c:v>
                </c:pt>
                <c:pt idx="19">
                  <c:v>5377.2772727272704</c:v>
                </c:pt>
                <c:pt idx="20">
                  <c:v>5593.8181818181783</c:v>
                </c:pt>
                <c:pt idx="21">
                  <c:v>5810.3590909090881</c:v>
                </c:pt>
                <c:pt idx="22">
                  <c:v>6026.9</c:v>
                </c:pt>
                <c:pt idx="23">
                  <c:v>6335.9</c:v>
                </c:pt>
                <c:pt idx="24">
                  <c:v>6660.35</c:v>
                </c:pt>
                <c:pt idx="25">
                  <c:v>7001.0225</c:v>
                </c:pt>
                <c:pt idx="26">
                  <c:v>7358.7286249999997</c:v>
                </c:pt>
                <c:pt idx="27">
                  <c:v>7569.4200562500018</c:v>
                </c:pt>
                <c:pt idx="28">
                  <c:v>7963.7910590625015</c:v>
                </c:pt>
                <c:pt idx="29">
                  <c:v>8377.880612015626</c:v>
                </c:pt>
              </c:numCache>
            </c:numRef>
          </c:xVal>
          <c:yVal>
            <c:numRef>
              <c:f>'limit 480V'!$K$27:$K$56</c:f>
              <c:numCache>
                <c:formatCode>0</c:formatCode>
                <c:ptCount val="30"/>
                <c:pt idx="0">
                  <c:v>2152.0358270841211</c:v>
                </c:pt>
                <c:pt idx="1">
                  <c:v>1609.0613042268649</c:v>
                </c:pt>
                <c:pt idx="2">
                  <c:v>1251.3110745877684</c:v>
                </c:pt>
                <c:pt idx="3">
                  <c:v>1002.9678421793282</c:v>
                </c:pt>
                <c:pt idx="4">
                  <c:v>823.40482486143719</c:v>
                </c:pt>
                <c:pt idx="5">
                  <c:v>689.26184135520168</c:v>
                </c:pt>
                <c:pt idx="6">
                  <c:v>586.33088810402</c:v>
                </c:pt>
                <c:pt idx="7">
                  <c:v>505.56540358298395</c:v>
                </c:pt>
                <c:pt idx="8">
                  <c:v>440.98166943200897</c:v>
                </c:pt>
                <c:pt idx="9">
                  <c:v>388.49249310376274</c:v>
                </c:pt>
                <c:pt idx="10">
                  <c:v>345.2282008921394</c:v>
                </c:pt>
                <c:pt idx="11">
                  <c:v>309.12537305001814</c:v>
                </c:pt>
                <c:pt idx="12">
                  <c:v>278.66909380278361</c:v>
                </c:pt>
                <c:pt idx="13">
                  <c:v>252.72653217488218</c:v>
                </c:pt>
                <c:pt idx="14">
                  <c:v>230.43664083208759</c:v>
                </c:pt>
                <c:pt idx="15">
                  <c:v>211.13533229331551</c:v>
                </c:pt>
                <c:pt idx="16">
                  <c:v>194.30365840543138</c:v>
                </c:pt>
                <c:pt idx="17">
                  <c:v>179.53124650780606</c:v>
                </c:pt>
                <c:pt idx="18">
                  <c:v>166.49006279600789</c:v>
                </c:pt>
                <c:pt idx="19">
                  <c:v>154.91529626952314</c:v>
                </c:pt>
                <c:pt idx="20">
                  <c:v>144.59123536258991</c:v>
                </c:pt>
                <c:pt idx="21">
                  <c:v>135.34069930858206</c:v>
                </c:pt>
                <c:pt idx="22">
                  <c:v>127.01703625122586</c:v>
                </c:pt>
                <c:pt idx="23">
                  <c:v>115.07607288617811</c:v>
                </c:pt>
                <c:pt idx="24">
                  <c:v>104.26321520193657</c:v>
                </c:pt>
                <c:pt idx="25">
                  <c:v>94.471148079937137</c:v>
                </c:pt>
                <c:pt idx="26">
                  <c:v>85.602862973278818</c:v>
                </c:pt>
                <c:pt idx="27">
                  <c:v>164.40383718495832</c:v>
                </c:pt>
                <c:pt idx="28">
                  <c:v>148.84681979303892</c:v>
                </c:pt>
                <c:pt idx="29">
                  <c:v>134.77297440768712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A5D-4CF0-9332-DE06E24DDBD5}"/>
            </c:ext>
          </c:extLst>
        </c:ser>
        <c:ser>
          <c:idx val="4"/>
          <c:order val="2"/>
          <c:tx>
            <c:strRef>
              <c:f>'limit 480V'!$E$58</c:f>
              <c:strCache>
                <c:ptCount val="1"/>
                <c:pt idx="0">
                  <c:v>Corba parell-velocitat a N1</c:v>
                </c:pt>
              </c:strCache>
            </c:strRef>
          </c:tx>
          <c:marker>
            <c:symbol val="none"/>
          </c:marker>
          <c:xVal>
            <c:numRef>
              <c:f>'limit 480V'!$I$60:$I$75</c:f>
              <c:numCache>
                <c:formatCode>0</c:formatCode>
                <c:ptCount val="16"/>
                <c:pt idx="0">
                  <c:v>6026.9</c:v>
                </c:pt>
                <c:pt idx="1">
                  <c:v>6026.9</c:v>
                </c:pt>
                <c:pt idx="2">
                  <c:v>6026.9</c:v>
                </c:pt>
                <c:pt idx="3">
                  <c:v>6026.9</c:v>
                </c:pt>
                <c:pt idx="4">
                  <c:v>6026.9</c:v>
                </c:pt>
                <c:pt idx="5">
                  <c:v>6026.9</c:v>
                </c:pt>
                <c:pt idx="6">
                  <c:v>6026.9</c:v>
                </c:pt>
                <c:pt idx="7">
                  <c:v>6026.9</c:v>
                </c:pt>
                <c:pt idx="8">
                  <c:v>6026.9</c:v>
                </c:pt>
                <c:pt idx="9">
                  <c:v>6026.9</c:v>
                </c:pt>
                <c:pt idx="10">
                  <c:v>6026.9</c:v>
                </c:pt>
                <c:pt idx="11">
                  <c:v>6026.9</c:v>
                </c:pt>
                <c:pt idx="12">
                  <c:v>6026.9</c:v>
                </c:pt>
                <c:pt idx="13">
                  <c:v>6026.9</c:v>
                </c:pt>
                <c:pt idx="14">
                  <c:v>6026.9</c:v>
                </c:pt>
                <c:pt idx="15">
                  <c:v>6026.9</c:v>
                </c:pt>
              </c:numCache>
            </c:numRef>
          </c:xVal>
          <c:yVal>
            <c:numRef>
              <c:f>'limit 480V'!$K$60:$K$75</c:f>
              <c:numCache>
                <c:formatCode>0</c:formatCode>
                <c:ptCount val="16"/>
                <c:pt idx="0">
                  <c:v>8.0960398277084042E-7</c:v>
                </c:pt>
                <c:pt idx="1">
                  <c:v>11.294178116610734</c:v>
                </c:pt>
                <c:pt idx="2">
                  <c:v>22.640037273311826</c:v>
                </c:pt>
                <c:pt idx="3">
                  <c:v>34.037212718818068</c:v>
                </c:pt>
                <c:pt idx="4">
                  <c:v>45.485335561567787</c:v>
                </c:pt>
                <c:pt idx="5">
                  <c:v>56.984033579326749</c:v>
                </c:pt>
                <c:pt idx="6">
                  <c:v>68.53293121918837</c:v>
                </c:pt>
                <c:pt idx="7">
                  <c:v>80.131649597573315</c:v>
                </c:pt>
                <c:pt idx="8">
                  <c:v>91.779806500230052</c:v>
                </c:pt>
                <c:pt idx="9">
                  <c:v>103.47701638223423</c:v>
                </c:pt>
                <c:pt idx="10">
                  <c:v>115.22289036798929</c:v>
                </c:pt>
                <c:pt idx="11">
                  <c:v>127.01703625122586</c:v>
                </c:pt>
                <c:pt idx="12">
                  <c:v>127.66908074213966</c:v>
                </c:pt>
                <c:pt idx="13">
                  <c:v>128.16416692892801</c:v>
                </c:pt>
                <c:pt idx="14">
                  <c:v>26.148589613379468</c:v>
                </c:pt>
                <c:pt idx="15">
                  <c:v>27.169571798257252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BA5D-4CF0-9332-DE06E24DDBD5}"/>
            </c:ext>
          </c:extLst>
        </c:ser>
        <c:ser>
          <c:idx val="0"/>
          <c:order val="3"/>
          <c:tx>
            <c:strRef>
              <c:f>'limit 480V'!$E$82</c:f>
              <c:strCache>
                <c:ptCount val="1"/>
                <c:pt idx="0">
                  <c:v>corba a pnom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ymbol val="none"/>
          </c:marker>
          <c:xVal>
            <c:numRef>
              <c:f>'limit 480V'!$I$84:$I$92</c:f>
              <c:numCache>
                <c:formatCode>0</c:formatCode>
                <c:ptCount val="9"/>
                <c:pt idx="0">
                  <c:v>1263</c:v>
                </c:pt>
                <c:pt idx="1">
                  <c:v>1515.6</c:v>
                </c:pt>
                <c:pt idx="2">
                  <c:v>1818.7200000000003</c:v>
                </c:pt>
                <c:pt idx="3">
                  <c:v>2182.4639999999999</c:v>
                </c:pt>
                <c:pt idx="4">
                  <c:v>2618.9567999999999</c:v>
                </c:pt>
                <c:pt idx="5">
                  <c:v>3142.7481600000001</c:v>
                </c:pt>
                <c:pt idx="6">
                  <c:v>3771.2977919999998</c:v>
                </c:pt>
                <c:pt idx="7">
                  <c:v>4525.5573504000004</c:v>
                </c:pt>
                <c:pt idx="8">
                  <c:v>6026.9</c:v>
                </c:pt>
              </c:numCache>
            </c:numRef>
          </c:xVal>
          <c:yVal>
            <c:numRef>
              <c:f>'limit 480V'!$K$84:$K$92</c:f>
              <c:numCache>
                <c:formatCode>0</c:formatCode>
                <c:ptCount val="9"/>
                <c:pt idx="0">
                  <c:v>606.70148983633146</c:v>
                </c:pt>
                <c:pt idx="1">
                  <c:v>505.5845748636097</c:v>
                </c:pt>
                <c:pt idx="2">
                  <c:v>421.32047905300794</c:v>
                </c:pt>
                <c:pt idx="3">
                  <c:v>351.10039921084007</c:v>
                </c:pt>
                <c:pt idx="4">
                  <c:v>292.58366600903338</c:v>
                </c:pt>
                <c:pt idx="5">
                  <c:v>243.81972167419445</c:v>
                </c:pt>
                <c:pt idx="6">
                  <c:v>203.18310139516205</c:v>
                </c:pt>
                <c:pt idx="7">
                  <c:v>169.319251162635</c:v>
                </c:pt>
                <c:pt idx="8" formatCode="0.00">
                  <c:v>127.01703625122586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BA5D-4CF0-9332-DE06E24DDB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3350144"/>
        <c:axId val="133352064"/>
      </c:scatterChart>
      <c:valAx>
        <c:axId val="133350144"/>
        <c:scaling>
          <c:orientation val="minMax"/>
          <c:min val="0"/>
        </c:scaling>
        <c:delete val="0"/>
        <c:axPos val="b"/>
        <c:minorGridlines>
          <c:spPr>
            <a:ln>
              <a:prstDash val="sysDot"/>
            </a:ln>
          </c:spPr>
        </c:min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/>
                  <a:t>rpm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33352064"/>
        <c:crosses val="autoZero"/>
        <c:crossBetween val="midCat"/>
        <c:majorUnit val="1000"/>
      </c:valAx>
      <c:valAx>
        <c:axId val="133352064"/>
        <c:scaling>
          <c:orientation val="minMax"/>
        </c:scaling>
        <c:delete val="0"/>
        <c:axPos val="l"/>
        <c:majorGridlines>
          <c:spPr>
            <a:ln>
              <a:prstDash val="sysDot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/>
                  <a:t>Nm</a:t>
                </a:r>
              </a:p>
            </c:rich>
          </c:tx>
          <c:layout>
            <c:manualLayout>
              <c:xMode val="edge"/>
              <c:yMode val="edge"/>
              <c:x val="9.1964098141775308E-2"/>
              <c:y val="0.11891442253103948"/>
            </c:manualLayout>
          </c:layout>
          <c:overlay val="0"/>
        </c:title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33350144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7551229995943447"/>
          <c:y val="8.3072100313479669E-2"/>
          <c:w val="0.17381087855317978"/>
          <c:h val="0.17711598746081514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600-000000000000}">
  <sheetPr/>
  <sheetViews>
    <sheetView workbookViewId="0"/>
  </sheetViews>
  <sheetProtection content="1" objects="1"/>
  <pageMargins left="0.7" right="0.7" top="0.75" bottom="0.75" header="0.3" footer="0.3"/>
  <drawing r:id="rId1"/>
</chartsheet>
</file>

<file path=xl/ctrlProps/ctrlProp1.xml><?xml version="1.0" encoding="utf-8"?>
<formControlPr xmlns="http://schemas.microsoft.com/office/spreadsheetml/2009/9/main" objectType="Drop" dropStyle="combo" dx="22" fmlaLink="$Q$10" fmlaRange="$P$9:$P$10" noThreeD="1" sel="1" val="0"/>
</file>

<file path=xl/ctrlProps/ctrlProp2.xml><?xml version="1.0" encoding="utf-8"?>
<formControlPr xmlns="http://schemas.microsoft.com/office/spreadsheetml/2009/9/main" objectType="Drop" dropStyle="combo" dx="22" fmlaLink="$Q$10" fmlaRange="$P$9:$P$10" noThreeD="1" sel="1" val="0"/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</xdr:row>
          <xdr:rowOff>161925</xdr:rowOff>
        </xdr:from>
        <xdr:to>
          <xdr:col>0</xdr:col>
          <xdr:colOff>1819275</xdr:colOff>
          <xdr:row>4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111</xdr:row>
      <xdr:rowOff>276225</xdr:rowOff>
    </xdr:from>
    <xdr:to>
      <xdr:col>14</xdr:col>
      <xdr:colOff>9525</xdr:colOff>
      <xdr:row>135</xdr:row>
      <xdr:rowOff>0</xdr:rowOff>
    </xdr:to>
    <xdr:graphicFrame macro="">
      <xdr:nvGraphicFramePr>
        <xdr:cNvPr id="2" name="Gráfico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0</xdr:colOff>
      <xdr:row>87</xdr:row>
      <xdr:rowOff>238125</xdr:rowOff>
    </xdr:from>
    <xdr:to>
      <xdr:col>14</xdr:col>
      <xdr:colOff>0</xdr:colOff>
      <xdr:row>111</xdr:row>
      <xdr:rowOff>9525</xdr:rowOff>
    </xdr:to>
    <xdr:graphicFrame macro="">
      <xdr:nvGraphicFramePr>
        <xdr:cNvPr id="3" name="Gráfico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</xdr:col>
      <xdr:colOff>66675</xdr:colOff>
      <xdr:row>143</xdr:row>
      <xdr:rowOff>28575</xdr:rowOff>
    </xdr:from>
    <xdr:to>
      <xdr:col>12</xdr:col>
      <xdr:colOff>109537</xdr:colOff>
      <xdr:row>143</xdr:row>
      <xdr:rowOff>904875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32280225"/>
          <a:ext cx="78486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</xdr:row>
          <xdr:rowOff>123825</xdr:rowOff>
        </xdr:from>
        <xdr:to>
          <xdr:col>2</xdr:col>
          <xdr:colOff>95250</xdr:colOff>
          <xdr:row>3</xdr:row>
          <xdr:rowOff>161925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75</xdr:row>
          <xdr:rowOff>133350</xdr:rowOff>
        </xdr:from>
        <xdr:to>
          <xdr:col>1</xdr:col>
          <xdr:colOff>533400</xdr:colOff>
          <xdr:row>77</xdr:row>
          <xdr:rowOff>85725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75</xdr:row>
          <xdr:rowOff>38100</xdr:rowOff>
        </xdr:from>
        <xdr:to>
          <xdr:col>2</xdr:col>
          <xdr:colOff>85725</xdr:colOff>
          <xdr:row>77</xdr:row>
          <xdr:rowOff>85725</xdr:rowOff>
        </xdr:to>
        <xdr:sp macro="" textlink="">
          <xdr:nvSpPr>
            <xdr:cNvPr id="2051" name="Object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342900</xdr:colOff>
          <xdr:row>9</xdr:row>
          <xdr:rowOff>19050</xdr:rowOff>
        </xdr:from>
        <xdr:to>
          <xdr:col>3</xdr:col>
          <xdr:colOff>476250</xdr:colOff>
          <xdr:row>10</xdr:row>
          <xdr:rowOff>9525</xdr:rowOff>
        </xdr:to>
        <xdr:sp macro="" textlink="">
          <xdr:nvSpPr>
            <xdr:cNvPr id="2052" name="Drop Down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247650</xdr:colOff>
          <xdr:row>138</xdr:row>
          <xdr:rowOff>76200</xdr:rowOff>
        </xdr:from>
        <xdr:to>
          <xdr:col>2</xdr:col>
          <xdr:colOff>219075</xdr:colOff>
          <xdr:row>140</xdr:row>
          <xdr:rowOff>123825</xdr:rowOff>
        </xdr:to>
        <xdr:sp macro="" textlink="">
          <xdr:nvSpPr>
            <xdr:cNvPr id="2053" name="Object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238126</xdr:colOff>
      <xdr:row>41</xdr:row>
      <xdr:rowOff>43656</xdr:rowOff>
    </xdr:from>
    <xdr:to>
      <xdr:col>11</xdr:col>
      <xdr:colOff>758349</xdr:colOff>
      <xdr:row>70</xdr:row>
      <xdr:rowOff>78519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" t="7083" r="1653" b="2174"/>
        <a:stretch/>
      </xdr:blipFill>
      <xdr:spPr>
        <a:xfrm>
          <a:off x="976314" y="10604500"/>
          <a:ext cx="8378348" cy="555936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676275</xdr:colOff>
      <xdr:row>35</xdr:row>
      <xdr:rowOff>47625</xdr:rowOff>
    </xdr:from>
    <xdr:to>
      <xdr:col>9</xdr:col>
      <xdr:colOff>742950</xdr:colOff>
      <xdr:row>50</xdr:row>
      <xdr:rowOff>95250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>
          <a:grpSpLocks/>
        </xdr:cNvGrpSpPr>
      </xdr:nvGrpSpPr>
      <xdr:grpSpPr bwMode="auto">
        <a:xfrm>
          <a:off x="1743075" y="7381875"/>
          <a:ext cx="8601075" cy="3190875"/>
          <a:chOff x="58" y="715"/>
          <a:chExt cx="825" cy="305"/>
        </a:xfrm>
      </xdr:grpSpPr>
      <xdr:sp macro="" textlink="">
        <xdr:nvSpPr>
          <xdr:cNvPr id="3" name="Rectangle 3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414" y="849"/>
            <a:ext cx="42" cy="9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4" name="Rectangle 4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>
            <a:spLocks noChangeArrowheads="1"/>
          </xdr:cNvSpPr>
        </xdr:nvSpPr>
        <xdr:spPr bwMode="auto">
          <a:xfrm>
            <a:off x="488" y="849"/>
            <a:ext cx="39" cy="9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" name="Line 5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105" y="774"/>
            <a:ext cx="751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Rectangle 6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>
            <a:spLocks noChangeArrowheads="1"/>
          </xdr:cNvSpPr>
        </xdr:nvSpPr>
        <xdr:spPr bwMode="auto">
          <a:xfrm>
            <a:off x="161" y="751"/>
            <a:ext cx="86" cy="4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Rectangle 7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>
            <a:spLocks noChangeArrowheads="1"/>
          </xdr:cNvSpPr>
        </xdr:nvSpPr>
        <xdr:spPr bwMode="auto">
          <a:xfrm>
            <a:off x="291" y="747"/>
            <a:ext cx="86" cy="4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Rectangle 8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>
            <a:spLocks noChangeArrowheads="1"/>
          </xdr:cNvSpPr>
        </xdr:nvSpPr>
        <xdr:spPr bwMode="auto">
          <a:xfrm>
            <a:off x="584" y="751"/>
            <a:ext cx="98" cy="4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9" name="Rectangle 9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SpPr>
            <a:spLocks noChangeArrowheads="1"/>
          </xdr:cNvSpPr>
        </xdr:nvSpPr>
        <xdr:spPr bwMode="auto">
          <a:xfrm>
            <a:off x="720" y="751"/>
            <a:ext cx="102" cy="49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" name="Line 10">
            <a:extLst>
              <a:ext uri="{FF2B5EF4-FFF2-40B4-BE49-F238E27FC236}">
                <a16:creationId xmlns:a16="http://schemas.microsoft.com/office/drawing/2014/main" id="{00000000-0008-0000-0200-00000A000000}"/>
              </a:ext>
            </a:extLst>
          </xdr:cNvPr>
          <xdr:cNvSpPr>
            <a:spLocks noChangeShapeType="1"/>
          </xdr:cNvSpPr>
        </xdr:nvSpPr>
        <xdr:spPr bwMode="auto">
          <a:xfrm>
            <a:off x="504" y="777"/>
            <a:ext cx="0" cy="7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" name="Line 11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SpPr>
            <a:spLocks noChangeShapeType="1"/>
          </xdr:cNvSpPr>
        </xdr:nvSpPr>
        <xdr:spPr bwMode="auto">
          <a:xfrm>
            <a:off x="435" y="776"/>
            <a:ext cx="0" cy="7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Line 12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SpPr>
            <a:spLocks noChangeShapeType="1"/>
          </xdr:cNvSpPr>
        </xdr:nvSpPr>
        <xdr:spPr bwMode="auto">
          <a:xfrm>
            <a:off x="856" y="772"/>
            <a:ext cx="0" cy="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" name="Rectangle 13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SpPr>
            <a:spLocks noChangeArrowheads="1"/>
          </xdr:cNvSpPr>
        </xdr:nvSpPr>
        <xdr:spPr bwMode="auto">
          <a:xfrm>
            <a:off x="837" y="828"/>
            <a:ext cx="46" cy="12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4" name="Line 14">
            <a:extLst>
              <a:ext uri="{FF2B5EF4-FFF2-40B4-BE49-F238E27FC236}">
                <a16:creationId xmlns:a16="http://schemas.microsoft.com/office/drawing/2014/main" id="{00000000-0008-0000-0200-00000E000000}"/>
              </a:ext>
            </a:extLst>
          </xdr:cNvPr>
          <xdr:cNvSpPr>
            <a:spLocks noChangeShapeType="1"/>
          </xdr:cNvSpPr>
        </xdr:nvSpPr>
        <xdr:spPr bwMode="auto">
          <a:xfrm>
            <a:off x="841" y="837"/>
            <a:ext cx="36" cy="10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" name="Line 15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845" y="842"/>
            <a:ext cx="30" cy="10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" name="Line 16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>
            <a:spLocks noChangeShapeType="1"/>
          </xdr:cNvSpPr>
        </xdr:nvSpPr>
        <xdr:spPr bwMode="auto">
          <a:xfrm>
            <a:off x="864" y="953"/>
            <a:ext cx="0" cy="67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" name="Line 17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09" y="1020"/>
            <a:ext cx="755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" name="Line 18">
            <a:extLst>
              <a:ext uri="{FF2B5EF4-FFF2-40B4-BE49-F238E27FC236}">
                <a16:creationId xmlns:a16="http://schemas.microsoft.com/office/drawing/2014/main" id="{00000000-0008-0000-0200-000012000000}"/>
              </a:ext>
            </a:extLst>
          </xdr:cNvPr>
          <xdr:cNvSpPr>
            <a:spLocks noChangeShapeType="1"/>
          </xdr:cNvSpPr>
        </xdr:nvSpPr>
        <xdr:spPr bwMode="auto">
          <a:xfrm>
            <a:off x="435" y="941"/>
            <a:ext cx="0" cy="7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9" name="Line 19">
            <a:extLst>
              <a:ext uri="{FF2B5EF4-FFF2-40B4-BE49-F238E27FC236}">
                <a16:creationId xmlns:a16="http://schemas.microsoft.com/office/drawing/2014/main" id="{00000000-0008-0000-0200-000013000000}"/>
              </a:ext>
            </a:extLst>
          </xdr:cNvPr>
          <xdr:cNvSpPr>
            <a:spLocks noChangeShapeType="1"/>
          </xdr:cNvSpPr>
        </xdr:nvSpPr>
        <xdr:spPr bwMode="auto">
          <a:xfrm>
            <a:off x="504" y="941"/>
            <a:ext cx="0" cy="7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" name="Text Box 20">
            <a:extLst>
              <a:ext uri="{FF2B5EF4-FFF2-40B4-BE49-F238E27FC236}">
                <a16:creationId xmlns:a16="http://schemas.microsoft.com/office/drawing/2014/main" id="{00000000-0008-0000-0200-00001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5" y="720"/>
            <a:ext cx="66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Rs</a:t>
            </a:r>
            <a:endParaRPr lang="es-ES"/>
          </a:p>
        </xdr:txBody>
      </xdr:sp>
      <xdr:sp macro="" textlink="">
        <xdr:nvSpPr>
          <xdr:cNvPr id="21" name="Text Box 21">
            <a:extLst>
              <a:ext uri="{FF2B5EF4-FFF2-40B4-BE49-F238E27FC236}">
                <a16:creationId xmlns:a16="http://schemas.microsoft.com/office/drawing/2014/main" id="{00000000-0008-0000-0200-00001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04" y="718"/>
            <a:ext cx="58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Rr</a:t>
            </a:r>
            <a:endParaRPr lang="es-ES"/>
          </a:p>
        </xdr:txBody>
      </xdr:sp>
      <xdr:sp macro="" textlink="">
        <xdr:nvSpPr>
          <xdr:cNvPr id="22" name="Text Box 22">
            <a:extLst>
              <a:ext uri="{FF2B5EF4-FFF2-40B4-BE49-F238E27FC236}">
                <a16:creationId xmlns:a16="http://schemas.microsoft.com/office/drawing/2014/main" id="{00000000-0008-0000-0200-00001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4" y="715"/>
            <a:ext cx="61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Ls</a:t>
            </a:r>
            <a:endParaRPr lang="es-ES"/>
          </a:p>
        </xdr:txBody>
      </xdr:sp>
      <xdr:sp macro="" textlink="">
        <xdr:nvSpPr>
          <xdr:cNvPr id="23" name="Text Box 23">
            <a:extLst>
              <a:ext uri="{FF2B5EF4-FFF2-40B4-BE49-F238E27FC236}">
                <a16:creationId xmlns:a16="http://schemas.microsoft.com/office/drawing/2014/main" id="{00000000-0008-0000-0200-00001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49" y="718"/>
            <a:ext cx="58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Lr</a:t>
            </a:r>
            <a:endParaRPr lang="es-ES"/>
          </a:p>
        </xdr:txBody>
      </xdr:sp>
      <xdr:sp macro="" textlink="">
        <xdr:nvSpPr>
          <xdr:cNvPr id="24" name="Text Box 24">
            <a:extLst>
              <a:ext uri="{FF2B5EF4-FFF2-40B4-BE49-F238E27FC236}">
                <a16:creationId xmlns:a16="http://schemas.microsoft.com/office/drawing/2014/main" id="{00000000-0008-0000-0200-00001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28" y="875"/>
            <a:ext cx="62" cy="5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Lm</a:t>
            </a:r>
            <a:endParaRPr lang="es-ES"/>
          </a:p>
        </xdr:txBody>
      </xdr:sp>
      <xdr:sp macro="" textlink="">
        <xdr:nvSpPr>
          <xdr:cNvPr id="25" name="Text Box 25">
            <a:extLst>
              <a:ext uri="{FF2B5EF4-FFF2-40B4-BE49-F238E27FC236}">
                <a16:creationId xmlns:a16="http://schemas.microsoft.com/office/drawing/2014/main" id="{00000000-0008-0000-0200-00001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7" y="869"/>
            <a:ext cx="63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RFe</a:t>
            </a:r>
            <a:endParaRPr lang="es-ES"/>
          </a:p>
        </xdr:txBody>
      </xdr:sp>
      <xdr:sp macro="" textlink="">
        <xdr:nvSpPr>
          <xdr:cNvPr id="26" name="Line 26">
            <a:extLst>
              <a:ext uri="{FF2B5EF4-FFF2-40B4-BE49-F238E27FC236}">
                <a16:creationId xmlns:a16="http://schemas.microsoft.com/office/drawing/2014/main" id="{00000000-0008-0000-0200-00001A000000}"/>
              </a:ext>
            </a:extLst>
          </xdr:cNvPr>
          <xdr:cNvSpPr>
            <a:spLocks noChangeShapeType="1"/>
          </xdr:cNvSpPr>
        </xdr:nvSpPr>
        <xdr:spPr bwMode="auto">
          <a:xfrm>
            <a:off x="584" y="860"/>
            <a:ext cx="0" cy="91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7" name="Text Box 27">
            <a:extLst>
              <a:ext uri="{FF2B5EF4-FFF2-40B4-BE49-F238E27FC236}">
                <a16:creationId xmlns:a16="http://schemas.microsoft.com/office/drawing/2014/main" id="{00000000-0008-0000-0200-00001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6" y="874"/>
            <a:ext cx="63" cy="5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Im</a:t>
            </a:r>
            <a:endParaRPr lang="es-ES"/>
          </a:p>
        </xdr:txBody>
      </xdr:sp>
      <xdr:sp macro="" textlink="">
        <xdr:nvSpPr>
          <xdr:cNvPr id="28" name="Line 28">
            <a:extLst>
              <a:ext uri="{FF2B5EF4-FFF2-40B4-BE49-F238E27FC236}">
                <a16:creationId xmlns:a16="http://schemas.microsoft.com/office/drawing/2014/main" id="{00000000-0008-0000-0200-00001C000000}"/>
              </a:ext>
            </a:extLst>
          </xdr:cNvPr>
          <xdr:cNvSpPr>
            <a:spLocks noChangeShapeType="1"/>
          </xdr:cNvSpPr>
        </xdr:nvSpPr>
        <xdr:spPr bwMode="auto">
          <a:xfrm>
            <a:off x="142" y="816"/>
            <a:ext cx="122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9" name="Text Box 29">
            <a:extLst>
              <a:ext uri="{FF2B5EF4-FFF2-40B4-BE49-F238E27FC236}">
                <a16:creationId xmlns:a16="http://schemas.microsoft.com/office/drawing/2014/main" id="{00000000-0008-0000-0200-00001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0" y="823"/>
            <a:ext cx="57" cy="5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Is</a:t>
            </a:r>
            <a:endParaRPr lang="es-ES"/>
          </a:p>
        </xdr:txBody>
      </xdr:sp>
      <xdr:sp macro="" textlink="">
        <xdr:nvSpPr>
          <xdr:cNvPr id="30" name="Line 30">
            <a:extLst>
              <a:ext uri="{FF2B5EF4-FFF2-40B4-BE49-F238E27FC236}">
                <a16:creationId xmlns:a16="http://schemas.microsoft.com/office/drawing/2014/main" id="{00000000-0008-0000-0200-00001E000000}"/>
              </a:ext>
            </a:extLst>
          </xdr:cNvPr>
          <xdr:cNvSpPr>
            <a:spLocks noChangeShapeType="1"/>
          </xdr:cNvSpPr>
        </xdr:nvSpPr>
        <xdr:spPr bwMode="auto">
          <a:xfrm>
            <a:off x="99" y="788"/>
            <a:ext cx="0" cy="213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1" name="Text Box 31">
            <a:extLst>
              <a:ext uri="{FF2B5EF4-FFF2-40B4-BE49-F238E27FC236}">
                <a16:creationId xmlns:a16="http://schemas.microsoft.com/office/drawing/2014/main" id="{00000000-0008-0000-0200-00001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" y="872"/>
            <a:ext cx="63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32004" rIns="0" bIns="0" anchor="t" upright="1"/>
          <a:lstStyle/>
          <a:p>
            <a:pPr algn="l" rtl="0">
              <a:defRPr sz="1000"/>
            </a:pPr>
            <a:r>
              <a:rPr lang="es-ES" sz="1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Vs</a:t>
            </a:r>
            <a:endParaRPr lang="es-ES"/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1</xdr:row>
          <xdr:rowOff>142875</xdr:rowOff>
        </xdr:from>
        <xdr:to>
          <xdr:col>1</xdr:col>
          <xdr:colOff>723900</xdr:colOff>
          <xdr:row>4</xdr:row>
          <xdr:rowOff>76200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111</xdr:row>
      <xdr:rowOff>276226</xdr:rowOff>
    </xdr:from>
    <xdr:to>
      <xdr:col>14</xdr:col>
      <xdr:colOff>9525</xdr:colOff>
      <xdr:row>135</xdr:row>
      <xdr:rowOff>0</xdr:rowOff>
    </xdr:to>
    <xdr:graphicFrame macro="">
      <xdr:nvGraphicFramePr>
        <xdr:cNvPr id="2" name="Gráfico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0</xdr:colOff>
      <xdr:row>87</xdr:row>
      <xdr:rowOff>242455</xdr:rowOff>
    </xdr:from>
    <xdr:to>
      <xdr:col>14</xdr:col>
      <xdr:colOff>0</xdr:colOff>
      <xdr:row>111</xdr:row>
      <xdr:rowOff>9526</xdr:rowOff>
    </xdr:to>
    <xdr:graphicFrame macro="">
      <xdr:nvGraphicFramePr>
        <xdr:cNvPr id="3" name="Gráfico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</xdr:col>
      <xdr:colOff>66675</xdr:colOff>
      <xdr:row>143</xdr:row>
      <xdr:rowOff>28575</xdr:rowOff>
    </xdr:from>
    <xdr:to>
      <xdr:col>12</xdr:col>
      <xdr:colOff>197644</xdr:colOff>
      <xdr:row>143</xdr:row>
      <xdr:rowOff>885825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32280225"/>
          <a:ext cx="7934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</xdr:row>
          <xdr:rowOff>123825</xdr:rowOff>
        </xdr:from>
        <xdr:to>
          <xdr:col>2</xdr:col>
          <xdr:colOff>95250</xdr:colOff>
          <xdr:row>3</xdr:row>
          <xdr:rowOff>161925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75</xdr:row>
          <xdr:rowOff>133350</xdr:rowOff>
        </xdr:from>
        <xdr:to>
          <xdr:col>1</xdr:col>
          <xdr:colOff>533400</xdr:colOff>
          <xdr:row>77</xdr:row>
          <xdr:rowOff>85725</xdr:rowOff>
        </xdr:to>
        <xdr:sp macro="" textlink="">
          <xdr:nvSpPr>
            <xdr:cNvPr id="4098" name="Object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3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75</xdr:row>
          <xdr:rowOff>38100</xdr:rowOff>
        </xdr:from>
        <xdr:to>
          <xdr:col>2</xdr:col>
          <xdr:colOff>85725</xdr:colOff>
          <xdr:row>77</xdr:row>
          <xdr:rowOff>85725</xdr:rowOff>
        </xdr:to>
        <xdr:sp macro="" textlink="">
          <xdr:nvSpPr>
            <xdr:cNvPr id="4099" name="Object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3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219075</xdr:colOff>
          <xdr:row>9</xdr:row>
          <xdr:rowOff>28575</xdr:rowOff>
        </xdr:from>
        <xdr:to>
          <xdr:col>3</xdr:col>
          <xdr:colOff>361950</xdr:colOff>
          <xdr:row>10</xdr:row>
          <xdr:rowOff>19050</xdr:rowOff>
        </xdr:to>
        <xdr:sp macro="" textlink="">
          <xdr:nvSpPr>
            <xdr:cNvPr id="4100" name="Drop Down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3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247650</xdr:colOff>
          <xdr:row>138</xdr:row>
          <xdr:rowOff>76200</xdr:rowOff>
        </xdr:from>
        <xdr:to>
          <xdr:col>2</xdr:col>
          <xdr:colOff>209550</xdr:colOff>
          <xdr:row>140</xdr:row>
          <xdr:rowOff>114300</xdr:rowOff>
        </xdr:to>
        <xdr:sp macro="" textlink="">
          <xdr:nvSpPr>
            <xdr:cNvPr id="4101" name="Object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3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190504</xdr:colOff>
      <xdr:row>41</xdr:row>
      <xdr:rowOff>45081</xdr:rowOff>
    </xdr:from>
    <xdr:to>
      <xdr:col>12</xdr:col>
      <xdr:colOff>7143</xdr:colOff>
      <xdr:row>70</xdr:row>
      <xdr:rowOff>128004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28692" y="10605925"/>
          <a:ext cx="8453432" cy="560742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847725</xdr:colOff>
      <xdr:row>36</xdr:row>
      <xdr:rowOff>38100</xdr:rowOff>
    </xdr:from>
    <xdr:to>
      <xdr:col>9</xdr:col>
      <xdr:colOff>914400</xdr:colOff>
      <xdr:row>51</xdr:row>
      <xdr:rowOff>104775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>
          <a:grpSpLocks/>
        </xdr:cNvGrpSpPr>
      </xdr:nvGrpSpPr>
      <xdr:grpSpPr bwMode="auto">
        <a:xfrm>
          <a:off x="1914525" y="7581900"/>
          <a:ext cx="8601075" cy="3190875"/>
          <a:chOff x="58" y="715"/>
          <a:chExt cx="825" cy="305"/>
        </a:xfrm>
      </xdr:grpSpPr>
      <xdr:sp macro="" textlink="">
        <xdr:nvSpPr>
          <xdr:cNvPr id="3" name="Rectangle 3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414" y="849"/>
            <a:ext cx="42" cy="9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4" name="Rectangle 4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>
            <a:spLocks noChangeArrowheads="1"/>
          </xdr:cNvSpPr>
        </xdr:nvSpPr>
        <xdr:spPr bwMode="auto">
          <a:xfrm>
            <a:off x="488" y="849"/>
            <a:ext cx="39" cy="9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" name="Line 5">
            <a:extLst>
              <a:ext uri="{FF2B5EF4-FFF2-40B4-BE49-F238E27FC236}">
                <a16:creationId xmlns:a16="http://schemas.microsoft.com/office/drawing/2014/main" id="{00000000-0008-0000-0400-0000050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105" y="774"/>
            <a:ext cx="751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Rectangle 6"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SpPr>
            <a:spLocks noChangeArrowheads="1"/>
          </xdr:cNvSpPr>
        </xdr:nvSpPr>
        <xdr:spPr bwMode="auto">
          <a:xfrm>
            <a:off x="161" y="751"/>
            <a:ext cx="86" cy="4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Rectangle 7">
            <a:extLst>
              <a:ext uri="{FF2B5EF4-FFF2-40B4-BE49-F238E27FC236}">
                <a16:creationId xmlns:a16="http://schemas.microsoft.com/office/drawing/2014/main" id="{00000000-0008-0000-0400-000007000000}"/>
              </a:ext>
            </a:extLst>
          </xdr:cNvPr>
          <xdr:cNvSpPr>
            <a:spLocks noChangeArrowheads="1"/>
          </xdr:cNvSpPr>
        </xdr:nvSpPr>
        <xdr:spPr bwMode="auto">
          <a:xfrm>
            <a:off x="291" y="747"/>
            <a:ext cx="86" cy="4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Rectangle 8">
            <a:extLst>
              <a:ext uri="{FF2B5EF4-FFF2-40B4-BE49-F238E27FC236}">
                <a16:creationId xmlns:a16="http://schemas.microsoft.com/office/drawing/2014/main" id="{00000000-0008-0000-0400-000008000000}"/>
              </a:ext>
            </a:extLst>
          </xdr:cNvPr>
          <xdr:cNvSpPr>
            <a:spLocks noChangeArrowheads="1"/>
          </xdr:cNvSpPr>
        </xdr:nvSpPr>
        <xdr:spPr bwMode="auto">
          <a:xfrm>
            <a:off x="584" y="751"/>
            <a:ext cx="98" cy="4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9" name="Rectangle 9">
            <a:extLst>
              <a:ext uri="{FF2B5EF4-FFF2-40B4-BE49-F238E27FC236}">
                <a16:creationId xmlns:a16="http://schemas.microsoft.com/office/drawing/2014/main" id="{00000000-0008-0000-0400-000009000000}"/>
              </a:ext>
            </a:extLst>
          </xdr:cNvPr>
          <xdr:cNvSpPr>
            <a:spLocks noChangeArrowheads="1"/>
          </xdr:cNvSpPr>
        </xdr:nvSpPr>
        <xdr:spPr bwMode="auto">
          <a:xfrm>
            <a:off x="720" y="751"/>
            <a:ext cx="102" cy="49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" name="Line 10">
            <a:extLst>
              <a:ext uri="{FF2B5EF4-FFF2-40B4-BE49-F238E27FC236}">
                <a16:creationId xmlns:a16="http://schemas.microsoft.com/office/drawing/2014/main" id="{00000000-0008-0000-0400-00000A000000}"/>
              </a:ext>
            </a:extLst>
          </xdr:cNvPr>
          <xdr:cNvSpPr>
            <a:spLocks noChangeShapeType="1"/>
          </xdr:cNvSpPr>
        </xdr:nvSpPr>
        <xdr:spPr bwMode="auto">
          <a:xfrm>
            <a:off x="504" y="777"/>
            <a:ext cx="0" cy="7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" name="Line 11">
            <a:extLst>
              <a:ext uri="{FF2B5EF4-FFF2-40B4-BE49-F238E27FC236}">
                <a16:creationId xmlns:a16="http://schemas.microsoft.com/office/drawing/2014/main" id="{00000000-0008-0000-0400-00000B000000}"/>
              </a:ext>
            </a:extLst>
          </xdr:cNvPr>
          <xdr:cNvSpPr>
            <a:spLocks noChangeShapeType="1"/>
          </xdr:cNvSpPr>
        </xdr:nvSpPr>
        <xdr:spPr bwMode="auto">
          <a:xfrm>
            <a:off x="435" y="776"/>
            <a:ext cx="0" cy="7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Line 12">
            <a:extLst>
              <a:ext uri="{FF2B5EF4-FFF2-40B4-BE49-F238E27FC236}">
                <a16:creationId xmlns:a16="http://schemas.microsoft.com/office/drawing/2014/main" id="{00000000-0008-0000-0400-00000C000000}"/>
              </a:ext>
            </a:extLst>
          </xdr:cNvPr>
          <xdr:cNvSpPr>
            <a:spLocks noChangeShapeType="1"/>
          </xdr:cNvSpPr>
        </xdr:nvSpPr>
        <xdr:spPr bwMode="auto">
          <a:xfrm>
            <a:off x="856" y="772"/>
            <a:ext cx="0" cy="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" name="Rectangle 13">
            <a:extLst>
              <a:ext uri="{FF2B5EF4-FFF2-40B4-BE49-F238E27FC236}">
                <a16:creationId xmlns:a16="http://schemas.microsoft.com/office/drawing/2014/main" id="{00000000-0008-0000-0400-00000D000000}"/>
              </a:ext>
            </a:extLst>
          </xdr:cNvPr>
          <xdr:cNvSpPr>
            <a:spLocks noChangeArrowheads="1"/>
          </xdr:cNvSpPr>
        </xdr:nvSpPr>
        <xdr:spPr bwMode="auto">
          <a:xfrm>
            <a:off x="837" y="828"/>
            <a:ext cx="46" cy="12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4" name="Line 14">
            <a:extLst>
              <a:ext uri="{FF2B5EF4-FFF2-40B4-BE49-F238E27FC236}">
                <a16:creationId xmlns:a16="http://schemas.microsoft.com/office/drawing/2014/main" id="{00000000-0008-0000-0400-00000E000000}"/>
              </a:ext>
            </a:extLst>
          </xdr:cNvPr>
          <xdr:cNvSpPr>
            <a:spLocks noChangeShapeType="1"/>
          </xdr:cNvSpPr>
        </xdr:nvSpPr>
        <xdr:spPr bwMode="auto">
          <a:xfrm>
            <a:off x="841" y="837"/>
            <a:ext cx="36" cy="10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" name="Line 15">
            <a:extLst>
              <a:ext uri="{FF2B5EF4-FFF2-40B4-BE49-F238E27FC236}">
                <a16:creationId xmlns:a16="http://schemas.microsoft.com/office/drawing/2014/main" id="{00000000-0008-0000-0400-00000F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845" y="842"/>
            <a:ext cx="30" cy="10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" name="Line 16">
            <a:extLst>
              <a:ext uri="{FF2B5EF4-FFF2-40B4-BE49-F238E27FC236}">
                <a16:creationId xmlns:a16="http://schemas.microsoft.com/office/drawing/2014/main" id="{00000000-0008-0000-0400-000010000000}"/>
              </a:ext>
            </a:extLst>
          </xdr:cNvPr>
          <xdr:cNvSpPr>
            <a:spLocks noChangeShapeType="1"/>
          </xdr:cNvSpPr>
        </xdr:nvSpPr>
        <xdr:spPr bwMode="auto">
          <a:xfrm>
            <a:off x="864" y="953"/>
            <a:ext cx="0" cy="67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" name="Line 17">
            <a:extLst>
              <a:ext uri="{FF2B5EF4-FFF2-40B4-BE49-F238E27FC236}">
                <a16:creationId xmlns:a16="http://schemas.microsoft.com/office/drawing/2014/main" id="{00000000-0008-0000-0400-000011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09" y="1020"/>
            <a:ext cx="755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" name="Line 18">
            <a:extLst>
              <a:ext uri="{FF2B5EF4-FFF2-40B4-BE49-F238E27FC236}">
                <a16:creationId xmlns:a16="http://schemas.microsoft.com/office/drawing/2014/main" id="{00000000-0008-0000-0400-000012000000}"/>
              </a:ext>
            </a:extLst>
          </xdr:cNvPr>
          <xdr:cNvSpPr>
            <a:spLocks noChangeShapeType="1"/>
          </xdr:cNvSpPr>
        </xdr:nvSpPr>
        <xdr:spPr bwMode="auto">
          <a:xfrm>
            <a:off x="435" y="941"/>
            <a:ext cx="0" cy="7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9" name="Line 19">
            <a:extLst>
              <a:ext uri="{FF2B5EF4-FFF2-40B4-BE49-F238E27FC236}">
                <a16:creationId xmlns:a16="http://schemas.microsoft.com/office/drawing/2014/main" id="{00000000-0008-0000-0400-000013000000}"/>
              </a:ext>
            </a:extLst>
          </xdr:cNvPr>
          <xdr:cNvSpPr>
            <a:spLocks noChangeShapeType="1"/>
          </xdr:cNvSpPr>
        </xdr:nvSpPr>
        <xdr:spPr bwMode="auto">
          <a:xfrm>
            <a:off x="504" y="941"/>
            <a:ext cx="0" cy="7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" name="Text Box 20">
            <a:extLst>
              <a:ext uri="{FF2B5EF4-FFF2-40B4-BE49-F238E27FC236}">
                <a16:creationId xmlns:a16="http://schemas.microsoft.com/office/drawing/2014/main" id="{00000000-0008-0000-0400-00001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5" y="720"/>
            <a:ext cx="66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Rs</a:t>
            </a:r>
            <a:endParaRPr lang="es-ES"/>
          </a:p>
        </xdr:txBody>
      </xdr:sp>
      <xdr:sp macro="" textlink="">
        <xdr:nvSpPr>
          <xdr:cNvPr id="21" name="Text Box 21">
            <a:extLst>
              <a:ext uri="{FF2B5EF4-FFF2-40B4-BE49-F238E27FC236}">
                <a16:creationId xmlns:a16="http://schemas.microsoft.com/office/drawing/2014/main" id="{00000000-0008-0000-0400-00001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04" y="718"/>
            <a:ext cx="58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Rr</a:t>
            </a:r>
            <a:endParaRPr lang="es-ES"/>
          </a:p>
        </xdr:txBody>
      </xdr:sp>
      <xdr:sp macro="" textlink="">
        <xdr:nvSpPr>
          <xdr:cNvPr id="22" name="Text Box 22">
            <a:extLst>
              <a:ext uri="{FF2B5EF4-FFF2-40B4-BE49-F238E27FC236}">
                <a16:creationId xmlns:a16="http://schemas.microsoft.com/office/drawing/2014/main" id="{00000000-0008-0000-0400-00001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4" y="715"/>
            <a:ext cx="62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Ls</a:t>
            </a:r>
            <a:endParaRPr lang="es-ES"/>
          </a:p>
        </xdr:txBody>
      </xdr:sp>
      <xdr:sp macro="" textlink="">
        <xdr:nvSpPr>
          <xdr:cNvPr id="23" name="Text Box 23">
            <a:extLst>
              <a:ext uri="{FF2B5EF4-FFF2-40B4-BE49-F238E27FC236}">
                <a16:creationId xmlns:a16="http://schemas.microsoft.com/office/drawing/2014/main" id="{00000000-0008-0000-0400-00001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49" y="718"/>
            <a:ext cx="58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Lr</a:t>
            </a:r>
            <a:endParaRPr lang="es-ES"/>
          </a:p>
        </xdr:txBody>
      </xdr:sp>
      <xdr:sp macro="" textlink="">
        <xdr:nvSpPr>
          <xdr:cNvPr id="24" name="Text Box 24">
            <a:extLst>
              <a:ext uri="{FF2B5EF4-FFF2-40B4-BE49-F238E27FC236}">
                <a16:creationId xmlns:a16="http://schemas.microsoft.com/office/drawing/2014/main" id="{00000000-0008-0000-0400-00001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28" y="875"/>
            <a:ext cx="62" cy="5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Lm</a:t>
            </a:r>
            <a:endParaRPr lang="es-ES"/>
          </a:p>
        </xdr:txBody>
      </xdr:sp>
      <xdr:sp macro="" textlink="">
        <xdr:nvSpPr>
          <xdr:cNvPr id="25" name="Text Box 25">
            <a:extLst>
              <a:ext uri="{FF2B5EF4-FFF2-40B4-BE49-F238E27FC236}">
                <a16:creationId xmlns:a16="http://schemas.microsoft.com/office/drawing/2014/main" id="{00000000-0008-0000-0400-00001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7" y="869"/>
            <a:ext cx="63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RFe</a:t>
            </a:r>
            <a:endParaRPr lang="es-ES"/>
          </a:p>
        </xdr:txBody>
      </xdr:sp>
      <xdr:sp macro="" textlink="">
        <xdr:nvSpPr>
          <xdr:cNvPr id="26" name="Line 26">
            <a:extLst>
              <a:ext uri="{FF2B5EF4-FFF2-40B4-BE49-F238E27FC236}">
                <a16:creationId xmlns:a16="http://schemas.microsoft.com/office/drawing/2014/main" id="{00000000-0008-0000-0400-00001A000000}"/>
              </a:ext>
            </a:extLst>
          </xdr:cNvPr>
          <xdr:cNvSpPr>
            <a:spLocks noChangeShapeType="1"/>
          </xdr:cNvSpPr>
        </xdr:nvSpPr>
        <xdr:spPr bwMode="auto">
          <a:xfrm>
            <a:off x="584" y="860"/>
            <a:ext cx="0" cy="91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7" name="Text Box 27">
            <a:extLst>
              <a:ext uri="{FF2B5EF4-FFF2-40B4-BE49-F238E27FC236}">
                <a16:creationId xmlns:a16="http://schemas.microsoft.com/office/drawing/2014/main" id="{00000000-0008-0000-0400-00001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6" y="874"/>
            <a:ext cx="63" cy="5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Im</a:t>
            </a:r>
            <a:endParaRPr lang="es-ES"/>
          </a:p>
        </xdr:txBody>
      </xdr:sp>
      <xdr:sp macro="" textlink="">
        <xdr:nvSpPr>
          <xdr:cNvPr id="28" name="Line 28">
            <a:extLst>
              <a:ext uri="{FF2B5EF4-FFF2-40B4-BE49-F238E27FC236}">
                <a16:creationId xmlns:a16="http://schemas.microsoft.com/office/drawing/2014/main" id="{00000000-0008-0000-0400-00001C000000}"/>
              </a:ext>
            </a:extLst>
          </xdr:cNvPr>
          <xdr:cNvSpPr>
            <a:spLocks noChangeShapeType="1"/>
          </xdr:cNvSpPr>
        </xdr:nvSpPr>
        <xdr:spPr bwMode="auto">
          <a:xfrm>
            <a:off x="142" y="816"/>
            <a:ext cx="122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9" name="Text Box 29">
            <a:extLst>
              <a:ext uri="{FF2B5EF4-FFF2-40B4-BE49-F238E27FC236}">
                <a16:creationId xmlns:a16="http://schemas.microsoft.com/office/drawing/2014/main" id="{00000000-0008-0000-0400-00001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0" y="823"/>
            <a:ext cx="57" cy="5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Is</a:t>
            </a:r>
            <a:endParaRPr lang="es-ES"/>
          </a:p>
        </xdr:txBody>
      </xdr:sp>
      <xdr:sp macro="" textlink="">
        <xdr:nvSpPr>
          <xdr:cNvPr id="30" name="Line 30">
            <a:extLst>
              <a:ext uri="{FF2B5EF4-FFF2-40B4-BE49-F238E27FC236}">
                <a16:creationId xmlns:a16="http://schemas.microsoft.com/office/drawing/2014/main" id="{00000000-0008-0000-0400-00001E000000}"/>
              </a:ext>
            </a:extLst>
          </xdr:cNvPr>
          <xdr:cNvSpPr>
            <a:spLocks noChangeShapeType="1"/>
          </xdr:cNvSpPr>
        </xdr:nvSpPr>
        <xdr:spPr bwMode="auto">
          <a:xfrm>
            <a:off x="99" y="788"/>
            <a:ext cx="0" cy="213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1" name="Text Box 31">
            <a:extLst>
              <a:ext uri="{FF2B5EF4-FFF2-40B4-BE49-F238E27FC236}">
                <a16:creationId xmlns:a16="http://schemas.microsoft.com/office/drawing/2014/main" id="{00000000-0008-0000-0400-00001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" y="872"/>
            <a:ext cx="63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32004" rIns="0" bIns="0" anchor="t" upright="1"/>
          <a:lstStyle/>
          <a:p>
            <a:pPr algn="l" rtl="0">
              <a:defRPr sz="1000"/>
            </a:pPr>
            <a:r>
              <a:rPr lang="es-ES" sz="1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Vs</a:t>
            </a:r>
            <a:endParaRPr lang="es-ES"/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1</xdr:row>
          <xdr:rowOff>142875</xdr:rowOff>
        </xdr:from>
        <xdr:to>
          <xdr:col>1</xdr:col>
          <xdr:colOff>723900</xdr:colOff>
          <xdr:row>4</xdr:row>
          <xdr:rowOff>76200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4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5.bin"/><Relationship Id="rId3" Type="http://schemas.openxmlformats.org/officeDocument/2006/relationships/vmlDrawing" Target="../drawings/vmlDrawing2.vml"/><Relationship Id="rId7" Type="http://schemas.openxmlformats.org/officeDocument/2006/relationships/oleObject" Target="../embeddings/oleObject4.bin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3.bin"/><Relationship Id="rId5" Type="http://schemas.openxmlformats.org/officeDocument/2006/relationships/image" Target="../media/image1.emf"/><Relationship Id="rId10" Type="http://schemas.openxmlformats.org/officeDocument/2006/relationships/comments" Target="../comments1.xml"/><Relationship Id="rId4" Type="http://schemas.openxmlformats.org/officeDocument/2006/relationships/oleObject" Target="../embeddings/oleObject2.bin"/><Relationship Id="rId9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6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10.bin"/><Relationship Id="rId3" Type="http://schemas.openxmlformats.org/officeDocument/2006/relationships/vmlDrawing" Target="../drawings/vmlDrawing4.vml"/><Relationship Id="rId7" Type="http://schemas.openxmlformats.org/officeDocument/2006/relationships/oleObject" Target="../embeddings/oleObject9.bin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oleObject" Target="../embeddings/oleObject8.bin"/><Relationship Id="rId5" Type="http://schemas.openxmlformats.org/officeDocument/2006/relationships/image" Target="../media/image1.emf"/><Relationship Id="rId10" Type="http://schemas.openxmlformats.org/officeDocument/2006/relationships/comments" Target="../comments2.xml"/><Relationship Id="rId4" Type="http://schemas.openxmlformats.org/officeDocument/2006/relationships/oleObject" Target="../embeddings/oleObject7.bin"/><Relationship Id="rId9" Type="http://schemas.openxmlformats.org/officeDocument/2006/relationships/ctrlProp" Target="../ctrlProps/ctrlProp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5"/>
  <sheetViews>
    <sheetView zoomScale="110" zoomScaleNormal="110" zoomScaleSheetLayoutView="100" workbookViewId="0">
      <pane xSplit="1" ySplit="9" topLeftCell="B10" activePane="bottomRight" state="frozen"/>
      <selection activeCell="O39" sqref="O39"/>
      <selection pane="topRight" activeCell="O39" sqref="O39"/>
      <selection pane="bottomLeft" activeCell="O39" sqref="O39"/>
      <selection pane="bottomRight" activeCell="O6" sqref="O6"/>
    </sheetView>
  </sheetViews>
  <sheetFormatPr defaultColWidth="9.85546875" defaultRowHeight="15" customHeight="1"/>
  <cols>
    <col min="1" max="1" width="35.5703125" style="63" customWidth="1"/>
    <col min="2" max="3" width="15.7109375" style="65" customWidth="1"/>
    <col min="4" max="13" width="16.7109375" style="65" customWidth="1"/>
    <col min="14" max="15" width="16.7109375" style="5" customWidth="1"/>
    <col min="16" max="245" width="9.85546875" style="5"/>
    <col min="246" max="246" width="35.5703125" style="5" customWidth="1"/>
    <col min="247" max="258" width="15.7109375" style="5" customWidth="1"/>
    <col min="259" max="259" width="9.85546875" style="5"/>
    <col min="260" max="261" width="15.7109375" style="5" customWidth="1"/>
    <col min="262" max="501" width="9.85546875" style="5"/>
    <col min="502" max="502" width="35.5703125" style="5" customWidth="1"/>
    <col min="503" max="514" width="15.7109375" style="5" customWidth="1"/>
    <col min="515" max="515" width="9.85546875" style="5"/>
    <col min="516" max="517" width="15.7109375" style="5" customWidth="1"/>
    <col min="518" max="757" width="9.85546875" style="5"/>
    <col min="758" max="758" width="35.5703125" style="5" customWidth="1"/>
    <col min="759" max="770" width="15.7109375" style="5" customWidth="1"/>
    <col min="771" max="771" width="9.85546875" style="5"/>
    <col min="772" max="773" width="15.7109375" style="5" customWidth="1"/>
    <col min="774" max="1013" width="9.85546875" style="5"/>
    <col min="1014" max="1014" width="35.5703125" style="5" customWidth="1"/>
    <col min="1015" max="1026" width="15.7109375" style="5" customWidth="1"/>
    <col min="1027" max="1027" width="9.85546875" style="5"/>
    <col min="1028" max="1029" width="15.7109375" style="5" customWidth="1"/>
    <col min="1030" max="1269" width="9.85546875" style="5"/>
    <col min="1270" max="1270" width="35.5703125" style="5" customWidth="1"/>
    <col min="1271" max="1282" width="15.7109375" style="5" customWidth="1"/>
    <col min="1283" max="1283" width="9.85546875" style="5"/>
    <col min="1284" max="1285" width="15.7109375" style="5" customWidth="1"/>
    <col min="1286" max="1525" width="9.85546875" style="5"/>
    <col min="1526" max="1526" width="35.5703125" style="5" customWidth="1"/>
    <col min="1527" max="1538" width="15.7109375" style="5" customWidth="1"/>
    <col min="1539" max="1539" width="9.85546875" style="5"/>
    <col min="1540" max="1541" width="15.7109375" style="5" customWidth="1"/>
    <col min="1542" max="1781" width="9.85546875" style="5"/>
    <col min="1782" max="1782" width="35.5703125" style="5" customWidth="1"/>
    <col min="1783" max="1794" width="15.7109375" style="5" customWidth="1"/>
    <col min="1795" max="1795" width="9.85546875" style="5"/>
    <col min="1796" max="1797" width="15.7109375" style="5" customWidth="1"/>
    <col min="1798" max="2037" width="9.85546875" style="5"/>
    <col min="2038" max="2038" width="35.5703125" style="5" customWidth="1"/>
    <col min="2039" max="2050" width="15.7109375" style="5" customWidth="1"/>
    <col min="2051" max="2051" width="9.85546875" style="5"/>
    <col min="2052" max="2053" width="15.7109375" style="5" customWidth="1"/>
    <col min="2054" max="2293" width="9.85546875" style="5"/>
    <col min="2294" max="2294" width="35.5703125" style="5" customWidth="1"/>
    <col min="2295" max="2306" width="15.7109375" style="5" customWidth="1"/>
    <col min="2307" max="2307" width="9.85546875" style="5"/>
    <col min="2308" max="2309" width="15.7109375" style="5" customWidth="1"/>
    <col min="2310" max="2549" width="9.85546875" style="5"/>
    <col min="2550" max="2550" width="35.5703125" style="5" customWidth="1"/>
    <col min="2551" max="2562" width="15.7109375" style="5" customWidth="1"/>
    <col min="2563" max="2563" width="9.85546875" style="5"/>
    <col min="2564" max="2565" width="15.7109375" style="5" customWidth="1"/>
    <col min="2566" max="2805" width="9.85546875" style="5"/>
    <col min="2806" max="2806" width="35.5703125" style="5" customWidth="1"/>
    <col min="2807" max="2818" width="15.7109375" style="5" customWidth="1"/>
    <col min="2819" max="2819" width="9.85546875" style="5"/>
    <col min="2820" max="2821" width="15.7109375" style="5" customWidth="1"/>
    <col min="2822" max="3061" width="9.85546875" style="5"/>
    <col min="3062" max="3062" width="35.5703125" style="5" customWidth="1"/>
    <col min="3063" max="3074" width="15.7109375" style="5" customWidth="1"/>
    <col min="3075" max="3075" width="9.85546875" style="5"/>
    <col min="3076" max="3077" width="15.7109375" style="5" customWidth="1"/>
    <col min="3078" max="3317" width="9.85546875" style="5"/>
    <col min="3318" max="3318" width="35.5703125" style="5" customWidth="1"/>
    <col min="3319" max="3330" width="15.7109375" style="5" customWidth="1"/>
    <col min="3331" max="3331" width="9.85546875" style="5"/>
    <col min="3332" max="3333" width="15.7109375" style="5" customWidth="1"/>
    <col min="3334" max="3573" width="9.85546875" style="5"/>
    <col min="3574" max="3574" width="35.5703125" style="5" customWidth="1"/>
    <col min="3575" max="3586" width="15.7109375" style="5" customWidth="1"/>
    <col min="3587" max="3587" width="9.85546875" style="5"/>
    <col min="3588" max="3589" width="15.7109375" style="5" customWidth="1"/>
    <col min="3590" max="3829" width="9.85546875" style="5"/>
    <col min="3830" max="3830" width="35.5703125" style="5" customWidth="1"/>
    <col min="3831" max="3842" width="15.7109375" style="5" customWidth="1"/>
    <col min="3843" max="3843" width="9.85546875" style="5"/>
    <col min="3844" max="3845" width="15.7109375" style="5" customWidth="1"/>
    <col min="3846" max="4085" width="9.85546875" style="5"/>
    <col min="4086" max="4086" width="35.5703125" style="5" customWidth="1"/>
    <col min="4087" max="4098" width="15.7109375" style="5" customWidth="1"/>
    <col min="4099" max="4099" width="9.85546875" style="5"/>
    <col min="4100" max="4101" width="15.7109375" style="5" customWidth="1"/>
    <col min="4102" max="4341" width="9.85546875" style="5"/>
    <col min="4342" max="4342" width="35.5703125" style="5" customWidth="1"/>
    <col min="4343" max="4354" width="15.7109375" style="5" customWidth="1"/>
    <col min="4355" max="4355" width="9.85546875" style="5"/>
    <col min="4356" max="4357" width="15.7109375" style="5" customWidth="1"/>
    <col min="4358" max="4597" width="9.85546875" style="5"/>
    <col min="4598" max="4598" width="35.5703125" style="5" customWidth="1"/>
    <col min="4599" max="4610" width="15.7109375" style="5" customWidth="1"/>
    <col min="4611" max="4611" width="9.85546875" style="5"/>
    <col min="4612" max="4613" width="15.7109375" style="5" customWidth="1"/>
    <col min="4614" max="4853" width="9.85546875" style="5"/>
    <col min="4854" max="4854" width="35.5703125" style="5" customWidth="1"/>
    <col min="4855" max="4866" width="15.7109375" style="5" customWidth="1"/>
    <col min="4867" max="4867" width="9.85546875" style="5"/>
    <col min="4868" max="4869" width="15.7109375" style="5" customWidth="1"/>
    <col min="4870" max="5109" width="9.85546875" style="5"/>
    <col min="5110" max="5110" width="35.5703125" style="5" customWidth="1"/>
    <col min="5111" max="5122" width="15.7109375" style="5" customWidth="1"/>
    <col min="5123" max="5123" width="9.85546875" style="5"/>
    <col min="5124" max="5125" width="15.7109375" style="5" customWidth="1"/>
    <col min="5126" max="5365" width="9.85546875" style="5"/>
    <col min="5366" max="5366" width="35.5703125" style="5" customWidth="1"/>
    <col min="5367" max="5378" width="15.7109375" style="5" customWidth="1"/>
    <col min="5379" max="5379" width="9.85546875" style="5"/>
    <col min="5380" max="5381" width="15.7109375" style="5" customWidth="1"/>
    <col min="5382" max="5621" width="9.85546875" style="5"/>
    <col min="5622" max="5622" width="35.5703125" style="5" customWidth="1"/>
    <col min="5623" max="5634" width="15.7109375" style="5" customWidth="1"/>
    <col min="5635" max="5635" width="9.85546875" style="5"/>
    <col min="5636" max="5637" width="15.7109375" style="5" customWidth="1"/>
    <col min="5638" max="5877" width="9.85546875" style="5"/>
    <col min="5878" max="5878" width="35.5703125" style="5" customWidth="1"/>
    <col min="5879" max="5890" width="15.7109375" style="5" customWidth="1"/>
    <col min="5891" max="5891" width="9.85546875" style="5"/>
    <col min="5892" max="5893" width="15.7109375" style="5" customWidth="1"/>
    <col min="5894" max="6133" width="9.85546875" style="5"/>
    <col min="6134" max="6134" width="35.5703125" style="5" customWidth="1"/>
    <col min="6135" max="6146" width="15.7109375" style="5" customWidth="1"/>
    <col min="6147" max="6147" width="9.85546875" style="5"/>
    <col min="6148" max="6149" width="15.7109375" style="5" customWidth="1"/>
    <col min="6150" max="6389" width="9.85546875" style="5"/>
    <col min="6390" max="6390" width="35.5703125" style="5" customWidth="1"/>
    <col min="6391" max="6402" width="15.7109375" style="5" customWidth="1"/>
    <col min="6403" max="6403" width="9.85546875" style="5"/>
    <col min="6404" max="6405" width="15.7109375" style="5" customWidth="1"/>
    <col min="6406" max="6645" width="9.85546875" style="5"/>
    <col min="6646" max="6646" width="35.5703125" style="5" customWidth="1"/>
    <col min="6647" max="6658" width="15.7109375" style="5" customWidth="1"/>
    <col min="6659" max="6659" width="9.85546875" style="5"/>
    <col min="6660" max="6661" width="15.7109375" style="5" customWidth="1"/>
    <col min="6662" max="6901" width="9.85546875" style="5"/>
    <col min="6902" max="6902" width="35.5703125" style="5" customWidth="1"/>
    <col min="6903" max="6914" width="15.7109375" style="5" customWidth="1"/>
    <col min="6915" max="6915" width="9.85546875" style="5"/>
    <col min="6916" max="6917" width="15.7109375" style="5" customWidth="1"/>
    <col min="6918" max="7157" width="9.85546875" style="5"/>
    <col min="7158" max="7158" width="35.5703125" style="5" customWidth="1"/>
    <col min="7159" max="7170" width="15.7109375" style="5" customWidth="1"/>
    <col min="7171" max="7171" width="9.85546875" style="5"/>
    <col min="7172" max="7173" width="15.7109375" style="5" customWidth="1"/>
    <col min="7174" max="7413" width="9.85546875" style="5"/>
    <col min="7414" max="7414" width="35.5703125" style="5" customWidth="1"/>
    <col min="7415" max="7426" width="15.7109375" style="5" customWidth="1"/>
    <col min="7427" max="7427" width="9.85546875" style="5"/>
    <col min="7428" max="7429" width="15.7109375" style="5" customWidth="1"/>
    <col min="7430" max="7669" width="9.85546875" style="5"/>
    <col min="7670" max="7670" width="35.5703125" style="5" customWidth="1"/>
    <col min="7671" max="7682" width="15.7109375" style="5" customWidth="1"/>
    <col min="7683" max="7683" width="9.85546875" style="5"/>
    <col min="7684" max="7685" width="15.7109375" style="5" customWidth="1"/>
    <col min="7686" max="7925" width="9.85546875" style="5"/>
    <col min="7926" max="7926" width="35.5703125" style="5" customWidth="1"/>
    <col min="7927" max="7938" width="15.7109375" style="5" customWidth="1"/>
    <col min="7939" max="7939" width="9.85546875" style="5"/>
    <col min="7940" max="7941" width="15.7109375" style="5" customWidth="1"/>
    <col min="7942" max="8181" width="9.85546875" style="5"/>
    <col min="8182" max="8182" width="35.5703125" style="5" customWidth="1"/>
    <col min="8183" max="8194" width="15.7109375" style="5" customWidth="1"/>
    <col min="8195" max="8195" width="9.85546875" style="5"/>
    <col min="8196" max="8197" width="15.7109375" style="5" customWidth="1"/>
    <col min="8198" max="8437" width="9.85546875" style="5"/>
    <col min="8438" max="8438" width="35.5703125" style="5" customWidth="1"/>
    <col min="8439" max="8450" width="15.7109375" style="5" customWidth="1"/>
    <col min="8451" max="8451" width="9.85546875" style="5"/>
    <col min="8452" max="8453" width="15.7109375" style="5" customWidth="1"/>
    <col min="8454" max="8693" width="9.85546875" style="5"/>
    <col min="8694" max="8694" width="35.5703125" style="5" customWidth="1"/>
    <col min="8695" max="8706" width="15.7109375" style="5" customWidth="1"/>
    <col min="8707" max="8707" width="9.85546875" style="5"/>
    <col min="8708" max="8709" width="15.7109375" style="5" customWidth="1"/>
    <col min="8710" max="8949" width="9.85546875" style="5"/>
    <col min="8950" max="8950" width="35.5703125" style="5" customWidth="1"/>
    <col min="8951" max="8962" width="15.7109375" style="5" customWidth="1"/>
    <col min="8963" max="8963" width="9.85546875" style="5"/>
    <col min="8964" max="8965" width="15.7109375" style="5" customWidth="1"/>
    <col min="8966" max="9205" width="9.85546875" style="5"/>
    <col min="9206" max="9206" width="35.5703125" style="5" customWidth="1"/>
    <col min="9207" max="9218" width="15.7109375" style="5" customWidth="1"/>
    <col min="9219" max="9219" width="9.85546875" style="5"/>
    <col min="9220" max="9221" width="15.7109375" style="5" customWidth="1"/>
    <col min="9222" max="9461" width="9.85546875" style="5"/>
    <col min="9462" max="9462" width="35.5703125" style="5" customWidth="1"/>
    <col min="9463" max="9474" width="15.7109375" style="5" customWidth="1"/>
    <col min="9475" max="9475" width="9.85546875" style="5"/>
    <col min="9476" max="9477" width="15.7109375" style="5" customWidth="1"/>
    <col min="9478" max="9717" width="9.85546875" style="5"/>
    <col min="9718" max="9718" width="35.5703125" style="5" customWidth="1"/>
    <col min="9719" max="9730" width="15.7109375" style="5" customWidth="1"/>
    <col min="9731" max="9731" width="9.85546875" style="5"/>
    <col min="9732" max="9733" width="15.7109375" style="5" customWidth="1"/>
    <col min="9734" max="9973" width="9.85546875" style="5"/>
    <col min="9974" max="9974" width="35.5703125" style="5" customWidth="1"/>
    <col min="9975" max="9986" width="15.7109375" style="5" customWidth="1"/>
    <col min="9987" max="9987" width="9.85546875" style="5"/>
    <col min="9988" max="9989" width="15.7109375" style="5" customWidth="1"/>
    <col min="9990" max="10229" width="9.85546875" style="5"/>
    <col min="10230" max="10230" width="35.5703125" style="5" customWidth="1"/>
    <col min="10231" max="10242" width="15.7109375" style="5" customWidth="1"/>
    <col min="10243" max="10243" width="9.85546875" style="5"/>
    <col min="10244" max="10245" width="15.7109375" style="5" customWidth="1"/>
    <col min="10246" max="10485" width="9.85546875" style="5"/>
    <col min="10486" max="10486" width="35.5703125" style="5" customWidth="1"/>
    <col min="10487" max="10498" width="15.7109375" style="5" customWidth="1"/>
    <col min="10499" max="10499" width="9.85546875" style="5"/>
    <col min="10500" max="10501" width="15.7109375" style="5" customWidth="1"/>
    <col min="10502" max="10741" width="9.85546875" style="5"/>
    <col min="10742" max="10742" width="35.5703125" style="5" customWidth="1"/>
    <col min="10743" max="10754" width="15.7109375" style="5" customWidth="1"/>
    <col min="10755" max="10755" width="9.85546875" style="5"/>
    <col min="10756" max="10757" width="15.7109375" style="5" customWidth="1"/>
    <col min="10758" max="10997" width="9.85546875" style="5"/>
    <col min="10998" max="10998" width="35.5703125" style="5" customWidth="1"/>
    <col min="10999" max="11010" width="15.7109375" style="5" customWidth="1"/>
    <col min="11011" max="11011" width="9.85546875" style="5"/>
    <col min="11012" max="11013" width="15.7109375" style="5" customWidth="1"/>
    <col min="11014" max="11253" width="9.85546875" style="5"/>
    <col min="11254" max="11254" width="35.5703125" style="5" customWidth="1"/>
    <col min="11255" max="11266" width="15.7109375" style="5" customWidth="1"/>
    <col min="11267" max="11267" width="9.85546875" style="5"/>
    <col min="11268" max="11269" width="15.7109375" style="5" customWidth="1"/>
    <col min="11270" max="11509" width="9.85546875" style="5"/>
    <col min="11510" max="11510" width="35.5703125" style="5" customWidth="1"/>
    <col min="11511" max="11522" width="15.7109375" style="5" customWidth="1"/>
    <col min="11523" max="11523" width="9.85546875" style="5"/>
    <col min="11524" max="11525" width="15.7109375" style="5" customWidth="1"/>
    <col min="11526" max="11765" width="9.85546875" style="5"/>
    <col min="11766" max="11766" width="35.5703125" style="5" customWidth="1"/>
    <col min="11767" max="11778" width="15.7109375" style="5" customWidth="1"/>
    <col min="11779" max="11779" width="9.85546875" style="5"/>
    <col min="11780" max="11781" width="15.7109375" style="5" customWidth="1"/>
    <col min="11782" max="12021" width="9.85546875" style="5"/>
    <col min="12022" max="12022" width="35.5703125" style="5" customWidth="1"/>
    <col min="12023" max="12034" width="15.7109375" style="5" customWidth="1"/>
    <col min="12035" max="12035" width="9.85546875" style="5"/>
    <col min="12036" max="12037" width="15.7109375" style="5" customWidth="1"/>
    <col min="12038" max="12277" width="9.85546875" style="5"/>
    <col min="12278" max="12278" width="35.5703125" style="5" customWidth="1"/>
    <col min="12279" max="12290" width="15.7109375" style="5" customWidth="1"/>
    <col min="12291" max="12291" width="9.85546875" style="5"/>
    <col min="12292" max="12293" width="15.7109375" style="5" customWidth="1"/>
    <col min="12294" max="12533" width="9.85546875" style="5"/>
    <col min="12534" max="12534" width="35.5703125" style="5" customWidth="1"/>
    <col min="12535" max="12546" width="15.7109375" style="5" customWidth="1"/>
    <col min="12547" max="12547" width="9.85546875" style="5"/>
    <col min="12548" max="12549" width="15.7109375" style="5" customWidth="1"/>
    <col min="12550" max="12789" width="9.85546875" style="5"/>
    <col min="12790" max="12790" width="35.5703125" style="5" customWidth="1"/>
    <col min="12791" max="12802" width="15.7109375" style="5" customWidth="1"/>
    <col min="12803" max="12803" width="9.85546875" style="5"/>
    <col min="12804" max="12805" width="15.7109375" style="5" customWidth="1"/>
    <col min="12806" max="13045" width="9.85546875" style="5"/>
    <col min="13046" max="13046" width="35.5703125" style="5" customWidth="1"/>
    <col min="13047" max="13058" width="15.7109375" style="5" customWidth="1"/>
    <col min="13059" max="13059" width="9.85546875" style="5"/>
    <col min="13060" max="13061" width="15.7109375" style="5" customWidth="1"/>
    <col min="13062" max="13301" width="9.85546875" style="5"/>
    <col min="13302" max="13302" width="35.5703125" style="5" customWidth="1"/>
    <col min="13303" max="13314" width="15.7109375" style="5" customWidth="1"/>
    <col min="13315" max="13315" width="9.85546875" style="5"/>
    <col min="13316" max="13317" width="15.7109375" style="5" customWidth="1"/>
    <col min="13318" max="13557" width="9.85546875" style="5"/>
    <col min="13558" max="13558" width="35.5703125" style="5" customWidth="1"/>
    <col min="13559" max="13570" width="15.7109375" style="5" customWidth="1"/>
    <col min="13571" max="13571" width="9.85546875" style="5"/>
    <col min="13572" max="13573" width="15.7109375" style="5" customWidth="1"/>
    <col min="13574" max="13813" width="9.85546875" style="5"/>
    <col min="13814" max="13814" width="35.5703125" style="5" customWidth="1"/>
    <col min="13815" max="13826" width="15.7109375" style="5" customWidth="1"/>
    <col min="13827" max="13827" width="9.85546875" style="5"/>
    <col min="13828" max="13829" width="15.7109375" style="5" customWidth="1"/>
    <col min="13830" max="14069" width="9.85546875" style="5"/>
    <col min="14070" max="14070" width="35.5703125" style="5" customWidth="1"/>
    <col min="14071" max="14082" width="15.7109375" style="5" customWidth="1"/>
    <col min="14083" max="14083" width="9.85546875" style="5"/>
    <col min="14084" max="14085" width="15.7109375" style="5" customWidth="1"/>
    <col min="14086" max="14325" width="9.85546875" style="5"/>
    <col min="14326" max="14326" width="35.5703125" style="5" customWidth="1"/>
    <col min="14327" max="14338" width="15.7109375" style="5" customWidth="1"/>
    <col min="14339" max="14339" width="9.85546875" style="5"/>
    <col min="14340" max="14341" width="15.7109375" style="5" customWidth="1"/>
    <col min="14342" max="14581" width="9.85546875" style="5"/>
    <col min="14582" max="14582" width="35.5703125" style="5" customWidth="1"/>
    <col min="14583" max="14594" width="15.7109375" style="5" customWidth="1"/>
    <col min="14595" max="14595" width="9.85546875" style="5"/>
    <col min="14596" max="14597" width="15.7109375" style="5" customWidth="1"/>
    <col min="14598" max="14837" width="9.85546875" style="5"/>
    <col min="14838" max="14838" width="35.5703125" style="5" customWidth="1"/>
    <col min="14839" max="14850" width="15.7109375" style="5" customWidth="1"/>
    <col min="14851" max="14851" width="9.85546875" style="5"/>
    <col min="14852" max="14853" width="15.7109375" style="5" customWidth="1"/>
    <col min="14854" max="15093" width="9.85546875" style="5"/>
    <col min="15094" max="15094" width="35.5703125" style="5" customWidth="1"/>
    <col min="15095" max="15106" width="15.7109375" style="5" customWidth="1"/>
    <col min="15107" max="15107" width="9.85546875" style="5"/>
    <col min="15108" max="15109" width="15.7109375" style="5" customWidth="1"/>
    <col min="15110" max="15349" width="9.85546875" style="5"/>
    <col min="15350" max="15350" width="35.5703125" style="5" customWidth="1"/>
    <col min="15351" max="15362" width="15.7109375" style="5" customWidth="1"/>
    <col min="15363" max="15363" width="9.85546875" style="5"/>
    <col min="15364" max="15365" width="15.7109375" style="5" customWidth="1"/>
    <col min="15366" max="15605" width="9.85546875" style="5"/>
    <col min="15606" max="15606" width="35.5703125" style="5" customWidth="1"/>
    <col min="15607" max="15618" width="15.7109375" style="5" customWidth="1"/>
    <col min="15619" max="15619" width="9.85546875" style="5"/>
    <col min="15620" max="15621" width="15.7109375" style="5" customWidth="1"/>
    <col min="15622" max="15861" width="9.85546875" style="5"/>
    <col min="15862" max="15862" width="35.5703125" style="5" customWidth="1"/>
    <col min="15863" max="15874" width="15.7109375" style="5" customWidth="1"/>
    <col min="15875" max="15875" width="9.85546875" style="5"/>
    <col min="15876" max="15877" width="15.7109375" style="5" customWidth="1"/>
    <col min="15878" max="16117" width="9.85546875" style="5"/>
    <col min="16118" max="16118" width="35.5703125" style="5" customWidth="1"/>
    <col min="16119" max="16130" width="15.7109375" style="5" customWidth="1"/>
    <col min="16131" max="16131" width="9.85546875" style="5"/>
    <col min="16132" max="16133" width="15.7109375" style="5" customWidth="1"/>
    <col min="16134" max="16384" width="9.85546875" style="5"/>
  </cols>
  <sheetData>
    <row r="1" spans="1:15" ht="19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3"/>
      <c r="O1" s="4"/>
    </row>
    <row r="2" spans="1:15" ht="20.100000000000001" customHeight="1">
      <c r="A2" s="6"/>
      <c r="B2" s="7"/>
      <c r="C2" s="428"/>
      <c r="D2" s="428"/>
      <c r="E2" s="427"/>
      <c r="F2" s="427"/>
      <c r="G2" s="428" t="str">
        <f>B21</f>
        <v>MAC QT 160 P</v>
      </c>
      <c r="H2" s="428"/>
      <c r="I2" s="427"/>
      <c r="J2" s="427"/>
      <c r="K2" s="427"/>
      <c r="L2" s="427"/>
      <c r="M2" s="8"/>
      <c r="N2" s="9" t="s">
        <v>0</v>
      </c>
      <c r="O2" s="10" t="s">
        <v>244</v>
      </c>
    </row>
    <row r="3" spans="1:15" ht="20.100000000000001" customHeight="1">
      <c r="A3" s="6"/>
      <c r="B3" s="11"/>
      <c r="C3" s="427"/>
      <c r="D3" s="427"/>
      <c r="E3" s="427"/>
      <c r="F3" s="427"/>
      <c r="G3" s="429"/>
      <c r="H3" s="427"/>
      <c r="I3" s="427"/>
      <c r="J3" s="427"/>
      <c r="K3" s="427"/>
      <c r="L3" s="427"/>
      <c r="M3" s="8"/>
      <c r="N3" s="9" t="s">
        <v>1</v>
      </c>
      <c r="O3" s="12" t="s">
        <v>245</v>
      </c>
    </row>
    <row r="4" spans="1:15" ht="20.100000000000001" customHeight="1">
      <c r="A4" s="6"/>
      <c r="B4" s="13"/>
      <c r="C4" s="430"/>
      <c r="D4" s="430"/>
      <c r="E4" s="427"/>
      <c r="F4" s="427"/>
      <c r="G4" s="430" t="s">
        <v>2</v>
      </c>
      <c r="H4" s="430"/>
      <c r="I4" s="427"/>
      <c r="J4" s="427"/>
      <c r="K4" s="427"/>
      <c r="L4" s="427"/>
      <c r="M4" s="8"/>
      <c r="N4" s="9" t="s">
        <v>3</v>
      </c>
      <c r="O4" s="10" t="s">
        <v>4</v>
      </c>
    </row>
    <row r="5" spans="1:15" ht="20.100000000000001" customHeight="1">
      <c r="A5" s="6"/>
      <c r="B5" s="11"/>
      <c r="C5" s="427"/>
      <c r="D5" s="427"/>
      <c r="E5" s="427"/>
      <c r="F5" s="427"/>
      <c r="G5" s="427"/>
      <c r="H5" s="427"/>
      <c r="I5" s="427"/>
      <c r="J5" s="427"/>
      <c r="K5" s="427"/>
      <c r="L5" s="427"/>
      <c r="M5" s="8"/>
      <c r="N5" s="9" t="s">
        <v>5</v>
      </c>
      <c r="O5" s="14">
        <v>45239</v>
      </c>
    </row>
    <row r="6" spans="1:15" ht="20.100000000000001" customHeight="1" thickBot="1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8"/>
      <c r="N6" s="17"/>
      <c r="O6" s="18"/>
    </row>
    <row r="7" spans="1:15" ht="15" customHeight="1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</row>
    <row r="8" spans="1:15" s="23" customFormat="1" ht="15" customHeight="1">
      <c r="A8" s="21"/>
      <c r="B8" s="22" t="str">
        <f t="shared" ref="B8:K9" si="0">B21</f>
        <v>MAC QT 160 P</v>
      </c>
      <c r="C8" s="22" t="str">
        <f t="shared" si="0"/>
        <v>MAC QT 160 P</v>
      </c>
      <c r="D8" s="22" t="str">
        <f t="shared" si="0"/>
        <v>MAC QT 160 P</v>
      </c>
      <c r="E8" s="22" t="str">
        <f t="shared" si="0"/>
        <v>MAC QT 160 P</v>
      </c>
      <c r="F8" s="22" t="str">
        <f t="shared" si="0"/>
        <v>MAC QT 160 P</v>
      </c>
      <c r="G8" s="22" t="str">
        <f t="shared" si="0"/>
        <v>MAC QT 160 P</v>
      </c>
      <c r="H8" s="22" t="str">
        <f t="shared" si="0"/>
        <v>MAC QT 160 P</v>
      </c>
      <c r="I8" s="22" t="str">
        <f t="shared" si="0"/>
        <v>MAC QT 160 P</v>
      </c>
      <c r="J8" s="22" t="str">
        <f t="shared" si="0"/>
        <v>MAC QT 160 P</v>
      </c>
      <c r="K8" s="22" t="str">
        <f t="shared" si="0"/>
        <v>MAC QT 160 P</v>
      </c>
      <c r="L8" s="22" t="str">
        <f>L21</f>
        <v>MAC QT 160 P</v>
      </c>
      <c r="M8" s="22" t="str">
        <f>M21</f>
        <v>MAC QT 160 P</v>
      </c>
      <c r="N8" s="22" t="str">
        <f t="shared" ref="N8:O8" si="1">N21</f>
        <v>MAC QT 160 P</v>
      </c>
      <c r="O8" s="22" t="str">
        <f t="shared" si="1"/>
        <v>MAC QT 160 P</v>
      </c>
    </row>
    <row r="9" spans="1:15" s="26" customFormat="1" ht="15" customHeight="1">
      <c r="A9" s="24"/>
      <c r="B9" s="357" t="str">
        <f t="shared" si="0"/>
        <v>A41</v>
      </c>
      <c r="C9" s="357" t="str">
        <f t="shared" si="0"/>
        <v>B41</v>
      </c>
      <c r="D9" s="357" t="str">
        <f t="shared" si="0"/>
        <v>C41</v>
      </c>
      <c r="E9" s="357" t="str">
        <f t="shared" si="0"/>
        <v>D41</v>
      </c>
      <c r="F9" s="357" t="str">
        <f t="shared" si="0"/>
        <v>E41</v>
      </c>
      <c r="G9" s="357" t="str">
        <f t="shared" si="0"/>
        <v>F41</v>
      </c>
      <c r="H9" s="357" t="str">
        <f t="shared" si="0"/>
        <v>G41</v>
      </c>
      <c r="I9" s="357" t="str">
        <f t="shared" si="0"/>
        <v>H41</v>
      </c>
      <c r="J9" s="357" t="str">
        <f t="shared" si="0"/>
        <v>I41</v>
      </c>
      <c r="K9" s="357" t="str">
        <f t="shared" si="0"/>
        <v>F42</v>
      </c>
      <c r="L9" s="357" t="str">
        <f>L22</f>
        <v>G42</v>
      </c>
      <c r="M9" s="357" t="str">
        <f>M22</f>
        <v>H42</v>
      </c>
      <c r="N9" s="357">
        <f t="shared" ref="N9:O9" si="2">N22</f>
        <v>0</v>
      </c>
      <c r="O9" s="357">
        <f t="shared" si="2"/>
        <v>0</v>
      </c>
    </row>
    <row r="10" spans="1:15" s="23" customFormat="1" ht="15" customHeight="1">
      <c r="A10" s="27" t="s">
        <v>6</v>
      </c>
      <c r="B10" s="354">
        <v>4</v>
      </c>
      <c r="C10" s="354">
        <f>B10</f>
        <v>4</v>
      </c>
      <c r="D10" s="354">
        <f t="shared" ref="D10:M10" si="3">C10</f>
        <v>4</v>
      </c>
      <c r="E10" s="354">
        <f t="shared" si="3"/>
        <v>4</v>
      </c>
      <c r="F10" s="354">
        <f t="shared" si="3"/>
        <v>4</v>
      </c>
      <c r="G10" s="354">
        <f t="shared" si="3"/>
        <v>4</v>
      </c>
      <c r="H10" s="354">
        <f t="shared" si="3"/>
        <v>4</v>
      </c>
      <c r="I10" s="354">
        <f t="shared" si="3"/>
        <v>4</v>
      </c>
      <c r="J10" s="354">
        <f t="shared" si="3"/>
        <v>4</v>
      </c>
      <c r="K10" s="354">
        <f t="shared" si="3"/>
        <v>4</v>
      </c>
      <c r="L10" s="354">
        <f t="shared" si="3"/>
        <v>4</v>
      </c>
      <c r="M10" s="354">
        <f t="shared" si="3"/>
        <v>4</v>
      </c>
      <c r="N10" s="354">
        <f t="shared" ref="N10" si="4">M10</f>
        <v>4</v>
      </c>
      <c r="O10" s="354">
        <f t="shared" ref="O10" si="5">N10</f>
        <v>4</v>
      </c>
    </row>
    <row r="11" spans="1:15" s="31" customFormat="1" ht="15" customHeight="1">
      <c r="A11" s="29" t="s">
        <v>79</v>
      </c>
      <c r="B11" s="30">
        <v>540</v>
      </c>
      <c r="C11" s="30">
        <v>540</v>
      </c>
      <c r="D11" s="30">
        <v>540</v>
      </c>
      <c r="E11" s="30">
        <v>540</v>
      </c>
      <c r="F11" s="30">
        <v>540</v>
      </c>
      <c r="G11" s="30">
        <v>540</v>
      </c>
      <c r="H11" s="30">
        <v>540</v>
      </c>
      <c r="I11" s="409">
        <v>540</v>
      </c>
      <c r="J11" s="409">
        <v>540</v>
      </c>
      <c r="K11" s="409">
        <v>520</v>
      </c>
      <c r="L11" s="409">
        <v>500</v>
      </c>
      <c r="M11" s="409">
        <v>480</v>
      </c>
      <c r="N11" s="409"/>
      <c r="O11" s="409"/>
    </row>
    <row r="12" spans="1:15" s="34" customFormat="1" ht="15" customHeight="1">
      <c r="A12" s="32" t="s">
        <v>82</v>
      </c>
      <c r="B12" s="33">
        <v>513</v>
      </c>
      <c r="C12" s="33">
        <v>693</v>
      </c>
      <c r="D12" s="33">
        <v>814</v>
      </c>
      <c r="E12" s="33">
        <v>993</v>
      </c>
      <c r="F12" s="33">
        <v>1113</v>
      </c>
      <c r="G12" s="33">
        <v>1263</v>
      </c>
      <c r="H12" s="33">
        <v>1443</v>
      </c>
      <c r="I12" s="410">
        <v>1684</v>
      </c>
      <c r="J12" s="410">
        <v>2043</v>
      </c>
      <c r="K12" s="410">
        <v>2224</v>
      </c>
      <c r="L12" s="410">
        <v>2555</v>
      </c>
      <c r="M12" s="410">
        <v>2976</v>
      </c>
      <c r="N12" s="410"/>
      <c r="O12" s="410"/>
    </row>
    <row r="13" spans="1:15" s="37" customFormat="1" ht="15" customHeight="1">
      <c r="A13" s="35" t="s">
        <v>81</v>
      </c>
      <c r="B13" s="36">
        <v>29.00946656324815</v>
      </c>
      <c r="C13" s="36">
        <v>39.188226760879083</v>
      </c>
      <c r="D13" s="36">
        <v>46.030615560397642</v>
      </c>
      <c r="E13" s="36">
        <v>56.152827090263962</v>
      </c>
      <c r="F13" s="36">
        <v>62.938667222017919</v>
      </c>
      <c r="G13" s="36">
        <v>71.420967386710359</v>
      </c>
      <c r="H13" s="36">
        <v>81.599727584341295</v>
      </c>
      <c r="I13" s="411">
        <v>95.227956515613798</v>
      </c>
      <c r="J13" s="411">
        <v>115.52892824311105</v>
      </c>
      <c r="K13" s="411">
        <v>121.10630240078413</v>
      </c>
      <c r="L13" s="411">
        <v>133.77948716536534</v>
      </c>
      <c r="M13" s="411">
        <v>149.59007579333158</v>
      </c>
      <c r="N13" s="411"/>
      <c r="O13" s="411"/>
    </row>
    <row r="14" spans="1:15" s="31" customFormat="1" ht="15" customHeight="1">
      <c r="A14" s="29" t="s">
        <v>130</v>
      </c>
      <c r="B14" s="30">
        <v>400</v>
      </c>
      <c r="C14" s="30">
        <v>400</v>
      </c>
      <c r="D14" s="30">
        <v>400</v>
      </c>
      <c r="E14" s="30">
        <v>400</v>
      </c>
      <c r="F14" s="30">
        <v>400</v>
      </c>
      <c r="G14" s="30">
        <v>400</v>
      </c>
      <c r="H14" s="30">
        <v>400</v>
      </c>
      <c r="I14" s="409">
        <v>400</v>
      </c>
      <c r="J14" s="409">
        <v>400</v>
      </c>
      <c r="K14" s="409">
        <v>400</v>
      </c>
      <c r="L14" s="409">
        <v>400</v>
      </c>
      <c r="M14" s="409">
        <v>400</v>
      </c>
      <c r="N14" s="409"/>
      <c r="O14" s="409"/>
    </row>
    <row r="15" spans="1:15" s="40" customFormat="1" ht="15" customHeight="1">
      <c r="A15" s="38" t="s">
        <v>35</v>
      </c>
      <c r="B15" s="39">
        <v>57</v>
      </c>
      <c r="C15" s="39">
        <v>75.2</v>
      </c>
      <c r="D15" s="39">
        <v>87.1</v>
      </c>
      <c r="E15" s="39">
        <v>104.9</v>
      </c>
      <c r="F15" s="39">
        <v>116.4</v>
      </c>
      <c r="G15" s="39">
        <v>130.9</v>
      </c>
      <c r="H15" s="39">
        <v>149.4</v>
      </c>
      <c r="I15" s="412">
        <v>174.3</v>
      </c>
      <c r="J15" s="412">
        <v>208.9</v>
      </c>
      <c r="K15" s="412">
        <v>219.3</v>
      </c>
      <c r="L15" s="412">
        <v>242.9</v>
      </c>
      <c r="M15" s="412">
        <v>274.60000000000002</v>
      </c>
      <c r="N15" s="412"/>
      <c r="O15" s="412"/>
    </row>
    <row r="16" spans="1:15" s="34" customFormat="1" ht="15" customHeight="1">
      <c r="A16" s="32" t="s">
        <v>83</v>
      </c>
      <c r="B16" s="39">
        <v>18</v>
      </c>
      <c r="C16" s="39">
        <v>24</v>
      </c>
      <c r="D16" s="39">
        <v>28</v>
      </c>
      <c r="E16" s="39">
        <v>34</v>
      </c>
      <c r="F16" s="39">
        <v>38</v>
      </c>
      <c r="G16" s="39">
        <v>43</v>
      </c>
      <c r="H16" s="39">
        <v>49</v>
      </c>
      <c r="I16" s="412">
        <v>57</v>
      </c>
      <c r="J16" s="412">
        <v>69</v>
      </c>
      <c r="K16" s="412">
        <v>75</v>
      </c>
      <c r="L16" s="412">
        <v>86</v>
      </c>
      <c r="M16" s="412">
        <v>100</v>
      </c>
      <c r="N16" s="412"/>
      <c r="O16" s="412"/>
    </row>
    <row r="17" spans="1:15" s="34" customFormat="1" ht="15" customHeight="1">
      <c r="A17" s="32" t="s">
        <v>133</v>
      </c>
      <c r="B17" s="41">
        <v>0.83959535244219374</v>
      </c>
      <c r="C17" s="41">
        <v>0.83682695557817921</v>
      </c>
      <c r="D17" s="41">
        <v>0.83610318033341158</v>
      </c>
      <c r="E17" s="41">
        <v>0.83529740643157846</v>
      </c>
      <c r="F17" s="41">
        <v>0.83756679741303308</v>
      </c>
      <c r="G17" s="41">
        <v>0.83948844328330163</v>
      </c>
      <c r="H17" s="41">
        <v>0.83471839439777928</v>
      </c>
      <c r="I17" s="55">
        <v>0.82950755845365565</v>
      </c>
      <c r="J17" s="55">
        <v>0.83436037997508239</v>
      </c>
      <c r="K17" s="55">
        <v>0.83077531715967501</v>
      </c>
      <c r="L17" s="55">
        <v>0.82549518324016746</v>
      </c>
      <c r="M17" s="55">
        <v>0.81405128743680522</v>
      </c>
      <c r="N17" s="55"/>
      <c r="O17" s="55"/>
    </row>
    <row r="18" spans="1:15" s="45" customFormat="1" ht="15" customHeight="1">
      <c r="A18" s="43" t="s">
        <v>146</v>
      </c>
      <c r="B18" s="44">
        <v>0.87493188281486434</v>
      </c>
      <c r="C18" s="44">
        <v>0.89883813932880097</v>
      </c>
      <c r="D18" s="44">
        <v>0.91232197040096519</v>
      </c>
      <c r="E18" s="44">
        <v>0.92498435338333063</v>
      </c>
      <c r="F18" s="44">
        <v>0.9318038280654164</v>
      </c>
      <c r="G18" s="44">
        <v>0.93810346754101459</v>
      </c>
      <c r="H18" s="44">
        <v>0.94444682015064407</v>
      </c>
      <c r="I18" s="330">
        <v>0.95066194949810567</v>
      </c>
      <c r="J18" s="330">
        <v>0.95670493135244472</v>
      </c>
      <c r="K18" s="330">
        <v>0.95945345093790591</v>
      </c>
      <c r="L18" s="330">
        <v>0.96300124764482398</v>
      </c>
      <c r="M18" s="330">
        <v>0.96589487818245279</v>
      </c>
      <c r="N18" s="330"/>
      <c r="O18" s="330"/>
    </row>
    <row r="19" spans="1:15" s="48" customFormat="1" ht="15" customHeight="1">
      <c r="A19" s="46" t="s">
        <v>147</v>
      </c>
      <c r="B19" s="47">
        <v>0.46263199999999999</v>
      </c>
      <c r="C19" s="47">
        <v>0.46263199999999999</v>
      </c>
      <c r="D19" s="47">
        <v>0.46263199999999999</v>
      </c>
      <c r="E19" s="47">
        <v>0.46263199999999999</v>
      </c>
      <c r="F19" s="47">
        <v>0.46263199999999999</v>
      </c>
      <c r="G19" s="47">
        <v>0.46263199999999999</v>
      </c>
      <c r="H19" s="47">
        <v>0.46263199999999999</v>
      </c>
      <c r="I19" s="47">
        <v>0.46263199999999999</v>
      </c>
      <c r="J19" s="413">
        <v>0.46263199999999999</v>
      </c>
      <c r="K19" s="413">
        <v>0.46263199999999999</v>
      </c>
      <c r="L19" s="413">
        <v>0.46263199999999999</v>
      </c>
      <c r="M19" s="413">
        <v>0.46263199999999999</v>
      </c>
      <c r="N19" s="413"/>
      <c r="O19" s="413"/>
    </row>
    <row r="20" spans="1:15" s="34" customFormat="1" ht="24.75" customHeight="1">
      <c r="A20" s="32"/>
      <c r="B20" s="355" t="s">
        <v>183</v>
      </c>
      <c r="C20" s="49"/>
      <c r="D20" s="49"/>
      <c r="E20" s="49"/>
      <c r="F20" s="49"/>
      <c r="G20" s="49"/>
      <c r="H20" s="49"/>
      <c r="I20" s="414"/>
      <c r="J20" s="414"/>
      <c r="K20" s="414"/>
      <c r="L20" s="414"/>
      <c r="M20" s="414"/>
      <c r="N20" s="414"/>
      <c r="O20" s="414"/>
    </row>
    <row r="21" spans="1:15" s="31" customFormat="1" ht="15" customHeight="1">
      <c r="A21" s="29"/>
      <c r="B21" s="50" t="s">
        <v>231</v>
      </c>
      <c r="C21" s="50" t="s">
        <v>231</v>
      </c>
      <c r="D21" s="50" t="s">
        <v>231</v>
      </c>
      <c r="E21" s="50" t="s">
        <v>231</v>
      </c>
      <c r="F21" s="50" t="s">
        <v>231</v>
      </c>
      <c r="G21" s="50" t="s">
        <v>231</v>
      </c>
      <c r="H21" s="50" t="s">
        <v>231</v>
      </c>
      <c r="I21" s="50" t="s">
        <v>231</v>
      </c>
      <c r="J21" s="50" t="s">
        <v>231</v>
      </c>
      <c r="K21" s="50" t="s">
        <v>231</v>
      </c>
      <c r="L21" s="50" t="s">
        <v>231</v>
      </c>
      <c r="M21" s="50" t="s">
        <v>231</v>
      </c>
      <c r="N21" s="50" t="s">
        <v>231</v>
      </c>
      <c r="O21" s="50" t="s">
        <v>231</v>
      </c>
    </row>
    <row r="22" spans="1:15" s="45" customFormat="1" ht="15" customHeight="1">
      <c r="A22" s="43"/>
      <c r="B22" s="356" t="s">
        <v>232</v>
      </c>
      <c r="C22" s="356" t="s">
        <v>233</v>
      </c>
      <c r="D22" s="356" t="s">
        <v>234</v>
      </c>
      <c r="E22" s="356" t="s">
        <v>235</v>
      </c>
      <c r="F22" s="356" t="s">
        <v>236</v>
      </c>
      <c r="G22" s="356" t="s">
        <v>237</v>
      </c>
      <c r="H22" s="356" t="s">
        <v>238</v>
      </c>
      <c r="I22" s="356" t="s">
        <v>239</v>
      </c>
      <c r="J22" s="356" t="s">
        <v>240</v>
      </c>
      <c r="K22" s="356" t="s">
        <v>241</v>
      </c>
      <c r="L22" s="356" t="s">
        <v>242</v>
      </c>
      <c r="M22" s="356" t="s">
        <v>243</v>
      </c>
      <c r="N22" s="356"/>
      <c r="O22" s="356"/>
    </row>
    <row r="23" spans="1:15" s="31" customFormat="1" ht="15" customHeight="1">
      <c r="A23" s="52" t="s">
        <v>148</v>
      </c>
      <c r="B23" s="53">
        <v>236.05550063881887</v>
      </c>
      <c r="C23" s="53">
        <v>140.72795497756996</v>
      </c>
      <c r="D23" s="53">
        <v>103.83298550779506</v>
      </c>
      <c r="E23" s="53">
        <v>72.046276326874406</v>
      </c>
      <c r="F23" s="53">
        <v>58.106815131632864</v>
      </c>
      <c r="G23" s="53">
        <v>46.147993559020016</v>
      </c>
      <c r="H23" s="53">
        <v>35.181988744392484</v>
      </c>
      <c r="I23" s="53">
        <v>25.693611798499802</v>
      </c>
      <c r="J23" s="53">
        <v>18.011569081718608</v>
      </c>
      <c r="K23" s="53">
        <v>15.382664519673341</v>
      </c>
      <c r="L23" s="53">
        <v>11.727329581464163</v>
      </c>
      <c r="M23" s="53">
        <v>8.5645372661665995</v>
      </c>
      <c r="N23" s="53"/>
      <c r="O23" s="53"/>
    </row>
    <row r="24" spans="1:15" s="34" customFormat="1" ht="15" customHeight="1">
      <c r="A24" s="54" t="s">
        <v>149</v>
      </c>
      <c r="B24" s="53">
        <v>187.99062348578832</v>
      </c>
      <c r="C24" s="53">
        <v>113.72272284942751</v>
      </c>
      <c r="D24" s="53">
        <v>83.551388215905931</v>
      </c>
      <c r="E24" s="53">
        <v>58.02179737215689</v>
      </c>
      <c r="F24" s="53">
        <v>46.997655871447073</v>
      </c>
      <c r="G24" s="53">
        <v>37.133950318180396</v>
      </c>
      <c r="H24" s="53">
        <v>28.430680712356871</v>
      </c>
      <c r="I24" s="53">
        <v>20.887847053976483</v>
      </c>
      <c r="J24" s="53">
        <v>14.505449343039221</v>
      </c>
      <c r="K24" s="53">
        <v>12.37798343939347</v>
      </c>
      <c r="L24" s="53">
        <v>9.4768935707856237</v>
      </c>
      <c r="M24" s="53">
        <v>6.9626156846588252</v>
      </c>
      <c r="N24" s="53"/>
      <c r="O24" s="53"/>
    </row>
    <row r="25" spans="1:15" s="34" customFormat="1" ht="15" customHeight="1">
      <c r="A25" s="54" t="s">
        <v>150</v>
      </c>
      <c r="B25" s="53">
        <v>518.7889426472301</v>
      </c>
      <c r="C25" s="53">
        <v>406.05179634010824</v>
      </c>
      <c r="D25" s="53">
        <v>342.85880427000188</v>
      </c>
      <c r="E25" s="53">
        <v>278.51907136934926</v>
      </c>
      <c r="F25" s="53">
        <v>246.93158530072978</v>
      </c>
      <c r="G25" s="53">
        <v>215.16473429221131</v>
      </c>
      <c r="H25" s="53">
        <v>182.13631504942001</v>
      </c>
      <c r="I25" s="53">
        <v>149.6688925636756</v>
      </c>
      <c r="J25" s="53">
        <v>118.89030818670278</v>
      </c>
      <c r="K25" s="53">
        <v>107.32545175426594</v>
      </c>
      <c r="L25" s="53">
        <v>89.796880141412814</v>
      </c>
      <c r="M25" s="53">
        <v>72.373090704416441</v>
      </c>
      <c r="N25" s="53"/>
      <c r="O25" s="53"/>
    </row>
    <row r="26" spans="1:15" s="34" customFormat="1" ht="15" customHeight="1">
      <c r="A26" s="54" t="s">
        <v>151</v>
      </c>
      <c r="B26" s="55">
        <v>2.64538611508388</v>
      </c>
      <c r="C26" s="55">
        <v>1.6002953041865442</v>
      </c>
      <c r="D26" s="55">
        <v>1.175727162259502</v>
      </c>
      <c r="E26" s="55">
        <v>0.81647719601354307</v>
      </c>
      <c r="F26" s="55">
        <v>0.66134652877097011</v>
      </c>
      <c r="G26" s="55">
        <v>0.52254540544866745</v>
      </c>
      <c r="H26" s="55">
        <v>0.40007382604663594</v>
      </c>
      <c r="I26" s="55">
        <v>0.29393179056487556</v>
      </c>
      <c r="J26" s="55">
        <v>0.20411929900338574</v>
      </c>
      <c r="K26" s="55">
        <v>0.17418180181622256</v>
      </c>
      <c r="L26" s="55">
        <v>0.13335794201554538</v>
      </c>
      <c r="M26" s="55">
        <v>9.7977263521625169E-2</v>
      </c>
      <c r="N26" s="55"/>
      <c r="O26" s="55"/>
    </row>
    <row r="27" spans="1:15" s="34" customFormat="1" ht="15" customHeight="1">
      <c r="A27" s="54" t="s">
        <v>152</v>
      </c>
      <c r="B27" s="55">
        <v>2.3710549137313892</v>
      </c>
      <c r="C27" s="55">
        <v>1.480264170212094</v>
      </c>
      <c r="D27" s="55">
        <v>1.0868623100466543</v>
      </c>
      <c r="E27" s="55">
        <v>0.7525393531151322</v>
      </c>
      <c r="F27" s="55">
        <v>0.60742837767666213</v>
      </c>
      <c r="G27" s="55">
        <v>0.47831092455173962</v>
      </c>
      <c r="H27" s="55">
        <v>0.36797283031576761</v>
      </c>
      <c r="I27" s="55">
        <v>0.27171655872009992</v>
      </c>
      <c r="J27" s="55">
        <v>0.1875125485677791</v>
      </c>
      <c r="K27" s="55">
        <v>0.16046034746275609</v>
      </c>
      <c r="L27" s="55">
        <v>0.12344407417575487</v>
      </c>
      <c r="M27" s="55">
        <v>9.1815098125069008E-2</v>
      </c>
      <c r="N27" s="55"/>
      <c r="O27" s="55"/>
    </row>
    <row r="28" spans="1:15" s="34" customFormat="1" ht="15" customHeight="1">
      <c r="A28" s="54" t="s">
        <v>153</v>
      </c>
      <c r="B28" s="55">
        <v>89.840415932995398</v>
      </c>
      <c r="C28" s="55">
        <v>53.097232571420491</v>
      </c>
      <c r="D28" s="55">
        <v>39.098762930316781</v>
      </c>
      <c r="E28" s="55">
        <v>27.026582368054392</v>
      </c>
      <c r="F28" s="55">
        <v>22.149052012853019</v>
      </c>
      <c r="G28" s="55">
        <v>17.724785001154462</v>
      </c>
      <c r="H28" s="55">
        <v>13.21417200720912</v>
      </c>
      <c r="I28" s="55">
        <v>9.4503213425344317</v>
      </c>
      <c r="J28" s="55">
        <v>6.7367577703402608</v>
      </c>
      <c r="K28" s="55">
        <v>5.8063637439691824</v>
      </c>
      <c r="L28" s="55">
        <v>4.4602251011051051</v>
      </c>
      <c r="M28" s="55">
        <v>3.195701957330598</v>
      </c>
      <c r="N28" s="55"/>
      <c r="O28" s="55"/>
    </row>
    <row r="29" spans="1:15" s="34" customFormat="1" ht="15" customHeight="1">
      <c r="A29" s="54" t="s">
        <v>154</v>
      </c>
      <c r="B29" s="55">
        <v>0.39179685200214381</v>
      </c>
      <c r="C29" s="55">
        <v>0.388675639352004</v>
      </c>
      <c r="D29" s="55">
        <v>0.3878776084075205</v>
      </c>
      <c r="E29" s="55">
        <v>0.38646077193141526</v>
      </c>
      <c r="F29" s="55">
        <v>0.39255977960502952</v>
      </c>
      <c r="G29" s="55">
        <v>0.39540896579319501</v>
      </c>
      <c r="H29" s="55">
        <v>0.38696635179344935</v>
      </c>
      <c r="I29" s="55">
        <v>0.37924808740467753</v>
      </c>
      <c r="J29" s="55">
        <v>0.38535660262872384</v>
      </c>
      <c r="K29" s="55">
        <v>0.38878476080244156</v>
      </c>
      <c r="L29" s="55">
        <v>0.39169898067682163</v>
      </c>
      <c r="M29" s="55">
        <v>0.38457176593341397</v>
      </c>
      <c r="N29" s="55"/>
      <c r="O29" s="55"/>
    </row>
    <row r="30" spans="1:15" s="34" customFormat="1" ht="15" customHeight="1">
      <c r="A30" s="54" t="s">
        <v>155</v>
      </c>
      <c r="B30" s="55">
        <v>0.4905110113308272</v>
      </c>
      <c r="C30" s="55">
        <v>0.47991725289496384</v>
      </c>
      <c r="D30" s="55">
        <v>0.48096897129368316</v>
      </c>
      <c r="E30" s="55">
        <v>0.47877044454503548</v>
      </c>
      <c r="F30" s="55">
        <v>0.48420458358126622</v>
      </c>
      <c r="G30" s="55">
        <v>0.49020090159365981</v>
      </c>
      <c r="H30" s="55">
        <v>0.47772844325959662</v>
      </c>
      <c r="I30" s="55">
        <v>0.46543992189006944</v>
      </c>
      <c r="J30" s="55">
        <v>0.4773564854942472</v>
      </c>
      <c r="K30" s="55">
        <v>0.48205138750163951</v>
      </c>
      <c r="L30" s="55">
        <v>0.48366789613538719</v>
      </c>
      <c r="M30" s="55">
        <v>0.47216695626318461</v>
      </c>
      <c r="N30" s="55"/>
      <c r="O30" s="55"/>
    </row>
    <row r="31" spans="1:15" s="34" customFormat="1" ht="15" customHeight="1">
      <c r="A31" s="56" t="s">
        <v>156</v>
      </c>
      <c r="B31" s="55">
        <v>138.43870110265081</v>
      </c>
      <c r="C31" s="55">
        <v>107.67454530206172</v>
      </c>
      <c r="D31" s="55">
        <v>92.292467401767198</v>
      </c>
      <c r="E31" s="55">
        <v>76.910389501472665</v>
      </c>
      <c r="F31" s="55">
        <v>69.219350551325405</v>
      </c>
      <c r="G31" s="55">
        <v>61.528311601178132</v>
      </c>
      <c r="H31" s="55">
        <v>53.837272651030865</v>
      </c>
      <c r="I31" s="55">
        <v>46.146233700883599</v>
      </c>
      <c r="J31" s="55">
        <v>38.455194750736332</v>
      </c>
      <c r="K31" s="55">
        <v>35.523387265723365</v>
      </c>
      <c r="L31" s="55">
        <v>31.082963857507945</v>
      </c>
      <c r="M31" s="55">
        <v>26.642540449292529</v>
      </c>
      <c r="N31" s="55"/>
      <c r="O31" s="55"/>
    </row>
    <row r="32" spans="1:15" s="59" customFormat="1" ht="15" customHeight="1">
      <c r="A32" s="57" t="s">
        <v>157</v>
      </c>
      <c r="B32" s="58">
        <v>20.3</v>
      </c>
      <c r="C32" s="58">
        <v>26.6</v>
      </c>
      <c r="D32" s="58">
        <v>31.2</v>
      </c>
      <c r="E32" s="58">
        <v>37.5</v>
      </c>
      <c r="F32" s="58">
        <v>41</v>
      </c>
      <c r="G32" s="58">
        <v>45.5</v>
      </c>
      <c r="H32" s="58">
        <v>53.7</v>
      </c>
      <c r="I32" s="58">
        <v>64.599999999999994</v>
      </c>
      <c r="J32" s="58">
        <v>75.2</v>
      </c>
      <c r="K32" s="58">
        <v>80.400000000000006</v>
      </c>
      <c r="L32" s="58">
        <v>91.5</v>
      </c>
      <c r="M32" s="58">
        <v>110</v>
      </c>
      <c r="N32" s="58"/>
      <c r="O32" s="58"/>
    </row>
    <row r="33" spans="1:15" ht="15" customHeight="1">
      <c r="A33" s="60"/>
      <c r="B33" s="61"/>
      <c r="C33" s="61"/>
      <c r="D33" s="61"/>
      <c r="E33" s="61"/>
      <c r="F33" s="61"/>
      <c r="G33" s="61"/>
      <c r="H33" s="61"/>
      <c r="I33" s="62"/>
      <c r="J33" s="62"/>
      <c r="K33" s="62"/>
      <c r="L33" s="62"/>
      <c r="M33" s="62"/>
      <c r="N33" s="62"/>
      <c r="O33" s="62"/>
    </row>
    <row r="35" spans="1:15" ht="15" customHeight="1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</row>
  </sheetData>
  <pageMargins left="0.39370078740157483" right="0.19685039370078741" top="0.39370078740157483" bottom="0.59055118110236227" header="0.19685039370078741" footer="0.39370078740157483"/>
  <pageSetup paperSize="9" scale="55" fitToHeight="0" orientation="portrait" horizontalDpi="120" verticalDpi="144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>
              <from>
                <xdr:col>0</xdr:col>
                <xdr:colOff>180975</xdr:colOff>
                <xdr:row>1</xdr:row>
                <xdr:rowOff>161925</xdr:rowOff>
              </from>
              <to>
                <xdr:col>0</xdr:col>
                <xdr:colOff>1819275</xdr:colOff>
                <xdr:row>4</xdr:row>
                <xdr:rowOff>0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D153"/>
  <sheetViews>
    <sheetView tabSelected="1" topLeftCell="A80" zoomScaleNormal="100" zoomScaleSheetLayoutView="80" workbookViewId="0">
      <selection activeCell="C87" sqref="C87"/>
    </sheetView>
  </sheetViews>
  <sheetFormatPr defaultColWidth="10.7109375" defaultRowHeight="15" customHeight="1"/>
  <cols>
    <col min="1" max="2" width="11.7109375" style="76" customWidth="1"/>
    <col min="3" max="4" width="11.7109375" style="89" customWidth="1"/>
    <col min="5" max="5" width="11.7109375" style="76" customWidth="1"/>
    <col min="6" max="6" width="11.7109375" style="89" customWidth="1"/>
    <col min="7" max="8" width="11.7109375" style="76" customWidth="1"/>
    <col min="9" max="9" width="11.7109375" style="89" customWidth="1"/>
    <col min="10" max="10" width="11.7109375" style="158" customWidth="1"/>
    <col min="11" max="11" width="11.7109375" style="76" customWidth="1"/>
    <col min="12" max="12" width="11.7109375" style="89" customWidth="1"/>
    <col min="13" max="14" width="11.7109375" style="76" customWidth="1"/>
    <col min="15" max="28" width="8.7109375" style="435" customWidth="1"/>
    <col min="29" max="30" width="10.7109375" style="435" customWidth="1"/>
    <col min="31" max="33" width="10.7109375" style="74" customWidth="1"/>
    <col min="34" max="52" width="10.7109375" style="193" customWidth="1"/>
    <col min="53" max="56" width="10.7109375" style="407" customWidth="1"/>
    <col min="57" max="256" width="10.7109375" style="76"/>
    <col min="257" max="270" width="11" style="76" customWidth="1"/>
    <col min="271" max="284" width="8.7109375" style="76" customWidth="1"/>
    <col min="285" max="512" width="10.7109375" style="76"/>
    <col min="513" max="526" width="11" style="76" customWidth="1"/>
    <col min="527" max="540" width="8.7109375" style="76" customWidth="1"/>
    <col min="541" max="768" width="10.7109375" style="76"/>
    <col min="769" max="782" width="11" style="76" customWidth="1"/>
    <col min="783" max="796" width="8.7109375" style="76" customWidth="1"/>
    <col min="797" max="1024" width="10.7109375" style="76"/>
    <col min="1025" max="1038" width="11" style="76" customWidth="1"/>
    <col min="1039" max="1052" width="8.7109375" style="76" customWidth="1"/>
    <col min="1053" max="1280" width="10.7109375" style="76"/>
    <col min="1281" max="1294" width="11" style="76" customWidth="1"/>
    <col min="1295" max="1308" width="8.7109375" style="76" customWidth="1"/>
    <col min="1309" max="1536" width="10.7109375" style="76"/>
    <col min="1537" max="1550" width="11" style="76" customWidth="1"/>
    <col min="1551" max="1564" width="8.7109375" style="76" customWidth="1"/>
    <col min="1565" max="1792" width="10.7109375" style="76"/>
    <col min="1793" max="1806" width="11" style="76" customWidth="1"/>
    <col min="1807" max="1820" width="8.7109375" style="76" customWidth="1"/>
    <col min="1821" max="2048" width="10.7109375" style="76"/>
    <col min="2049" max="2062" width="11" style="76" customWidth="1"/>
    <col min="2063" max="2076" width="8.7109375" style="76" customWidth="1"/>
    <col min="2077" max="2304" width="10.7109375" style="76"/>
    <col min="2305" max="2318" width="11" style="76" customWidth="1"/>
    <col min="2319" max="2332" width="8.7109375" style="76" customWidth="1"/>
    <col min="2333" max="2560" width="10.7109375" style="76"/>
    <col min="2561" max="2574" width="11" style="76" customWidth="1"/>
    <col min="2575" max="2588" width="8.7109375" style="76" customWidth="1"/>
    <col min="2589" max="2816" width="10.7109375" style="76"/>
    <col min="2817" max="2830" width="11" style="76" customWidth="1"/>
    <col min="2831" max="2844" width="8.7109375" style="76" customWidth="1"/>
    <col min="2845" max="3072" width="10.7109375" style="76"/>
    <col min="3073" max="3086" width="11" style="76" customWidth="1"/>
    <col min="3087" max="3100" width="8.7109375" style="76" customWidth="1"/>
    <col min="3101" max="3328" width="10.7109375" style="76"/>
    <col min="3329" max="3342" width="11" style="76" customWidth="1"/>
    <col min="3343" max="3356" width="8.7109375" style="76" customWidth="1"/>
    <col min="3357" max="3584" width="10.7109375" style="76"/>
    <col min="3585" max="3598" width="11" style="76" customWidth="1"/>
    <col min="3599" max="3612" width="8.7109375" style="76" customWidth="1"/>
    <col min="3613" max="3840" width="10.7109375" style="76"/>
    <col min="3841" max="3854" width="11" style="76" customWidth="1"/>
    <col min="3855" max="3868" width="8.7109375" style="76" customWidth="1"/>
    <col min="3869" max="4096" width="10.7109375" style="76"/>
    <col min="4097" max="4110" width="11" style="76" customWidth="1"/>
    <col min="4111" max="4124" width="8.7109375" style="76" customWidth="1"/>
    <col min="4125" max="4352" width="10.7109375" style="76"/>
    <col min="4353" max="4366" width="11" style="76" customWidth="1"/>
    <col min="4367" max="4380" width="8.7109375" style="76" customWidth="1"/>
    <col min="4381" max="4608" width="10.7109375" style="76"/>
    <col min="4609" max="4622" width="11" style="76" customWidth="1"/>
    <col min="4623" max="4636" width="8.7109375" style="76" customWidth="1"/>
    <col min="4637" max="4864" width="10.7109375" style="76"/>
    <col min="4865" max="4878" width="11" style="76" customWidth="1"/>
    <col min="4879" max="4892" width="8.7109375" style="76" customWidth="1"/>
    <col min="4893" max="5120" width="10.7109375" style="76"/>
    <col min="5121" max="5134" width="11" style="76" customWidth="1"/>
    <col min="5135" max="5148" width="8.7109375" style="76" customWidth="1"/>
    <col min="5149" max="5376" width="10.7109375" style="76"/>
    <col min="5377" max="5390" width="11" style="76" customWidth="1"/>
    <col min="5391" max="5404" width="8.7109375" style="76" customWidth="1"/>
    <col min="5405" max="5632" width="10.7109375" style="76"/>
    <col min="5633" max="5646" width="11" style="76" customWidth="1"/>
    <col min="5647" max="5660" width="8.7109375" style="76" customWidth="1"/>
    <col min="5661" max="5888" width="10.7109375" style="76"/>
    <col min="5889" max="5902" width="11" style="76" customWidth="1"/>
    <col min="5903" max="5916" width="8.7109375" style="76" customWidth="1"/>
    <col min="5917" max="6144" width="10.7109375" style="76"/>
    <col min="6145" max="6158" width="11" style="76" customWidth="1"/>
    <col min="6159" max="6172" width="8.7109375" style="76" customWidth="1"/>
    <col min="6173" max="6400" width="10.7109375" style="76"/>
    <col min="6401" max="6414" width="11" style="76" customWidth="1"/>
    <col min="6415" max="6428" width="8.7109375" style="76" customWidth="1"/>
    <col min="6429" max="6656" width="10.7109375" style="76"/>
    <col min="6657" max="6670" width="11" style="76" customWidth="1"/>
    <col min="6671" max="6684" width="8.7109375" style="76" customWidth="1"/>
    <col min="6685" max="6912" width="10.7109375" style="76"/>
    <col min="6913" max="6926" width="11" style="76" customWidth="1"/>
    <col min="6927" max="6940" width="8.7109375" style="76" customWidth="1"/>
    <col min="6941" max="7168" width="10.7109375" style="76"/>
    <col min="7169" max="7182" width="11" style="76" customWidth="1"/>
    <col min="7183" max="7196" width="8.7109375" style="76" customWidth="1"/>
    <col min="7197" max="7424" width="10.7109375" style="76"/>
    <col min="7425" max="7438" width="11" style="76" customWidth="1"/>
    <col min="7439" max="7452" width="8.7109375" style="76" customWidth="1"/>
    <col min="7453" max="7680" width="10.7109375" style="76"/>
    <col min="7681" max="7694" width="11" style="76" customWidth="1"/>
    <col min="7695" max="7708" width="8.7109375" style="76" customWidth="1"/>
    <col min="7709" max="7936" width="10.7109375" style="76"/>
    <col min="7937" max="7950" width="11" style="76" customWidth="1"/>
    <col min="7951" max="7964" width="8.7109375" style="76" customWidth="1"/>
    <col min="7965" max="8192" width="10.7109375" style="76"/>
    <col min="8193" max="8206" width="11" style="76" customWidth="1"/>
    <col min="8207" max="8220" width="8.7109375" style="76" customWidth="1"/>
    <col min="8221" max="8448" width="10.7109375" style="76"/>
    <col min="8449" max="8462" width="11" style="76" customWidth="1"/>
    <col min="8463" max="8476" width="8.7109375" style="76" customWidth="1"/>
    <col min="8477" max="8704" width="10.7109375" style="76"/>
    <col min="8705" max="8718" width="11" style="76" customWidth="1"/>
    <col min="8719" max="8732" width="8.7109375" style="76" customWidth="1"/>
    <col min="8733" max="8960" width="10.7109375" style="76"/>
    <col min="8961" max="8974" width="11" style="76" customWidth="1"/>
    <col min="8975" max="8988" width="8.7109375" style="76" customWidth="1"/>
    <col min="8989" max="9216" width="10.7109375" style="76"/>
    <col min="9217" max="9230" width="11" style="76" customWidth="1"/>
    <col min="9231" max="9244" width="8.7109375" style="76" customWidth="1"/>
    <col min="9245" max="9472" width="10.7109375" style="76"/>
    <col min="9473" max="9486" width="11" style="76" customWidth="1"/>
    <col min="9487" max="9500" width="8.7109375" style="76" customWidth="1"/>
    <col min="9501" max="9728" width="10.7109375" style="76"/>
    <col min="9729" max="9742" width="11" style="76" customWidth="1"/>
    <col min="9743" max="9756" width="8.7109375" style="76" customWidth="1"/>
    <col min="9757" max="9984" width="10.7109375" style="76"/>
    <col min="9985" max="9998" width="11" style="76" customWidth="1"/>
    <col min="9999" max="10012" width="8.7109375" style="76" customWidth="1"/>
    <col min="10013" max="10240" width="10.7109375" style="76"/>
    <col min="10241" max="10254" width="11" style="76" customWidth="1"/>
    <col min="10255" max="10268" width="8.7109375" style="76" customWidth="1"/>
    <col min="10269" max="10496" width="10.7109375" style="76"/>
    <col min="10497" max="10510" width="11" style="76" customWidth="1"/>
    <col min="10511" max="10524" width="8.7109375" style="76" customWidth="1"/>
    <col min="10525" max="10752" width="10.7109375" style="76"/>
    <col min="10753" max="10766" width="11" style="76" customWidth="1"/>
    <col min="10767" max="10780" width="8.7109375" style="76" customWidth="1"/>
    <col min="10781" max="11008" width="10.7109375" style="76"/>
    <col min="11009" max="11022" width="11" style="76" customWidth="1"/>
    <col min="11023" max="11036" width="8.7109375" style="76" customWidth="1"/>
    <col min="11037" max="11264" width="10.7109375" style="76"/>
    <col min="11265" max="11278" width="11" style="76" customWidth="1"/>
    <col min="11279" max="11292" width="8.7109375" style="76" customWidth="1"/>
    <col min="11293" max="11520" width="10.7109375" style="76"/>
    <col min="11521" max="11534" width="11" style="76" customWidth="1"/>
    <col min="11535" max="11548" width="8.7109375" style="76" customWidth="1"/>
    <col min="11549" max="11776" width="10.7109375" style="76"/>
    <col min="11777" max="11790" width="11" style="76" customWidth="1"/>
    <col min="11791" max="11804" width="8.7109375" style="76" customWidth="1"/>
    <col min="11805" max="12032" width="10.7109375" style="76"/>
    <col min="12033" max="12046" width="11" style="76" customWidth="1"/>
    <col min="12047" max="12060" width="8.7109375" style="76" customWidth="1"/>
    <col min="12061" max="12288" width="10.7109375" style="76"/>
    <col min="12289" max="12302" width="11" style="76" customWidth="1"/>
    <col min="12303" max="12316" width="8.7109375" style="76" customWidth="1"/>
    <col min="12317" max="12544" width="10.7109375" style="76"/>
    <col min="12545" max="12558" width="11" style="76" customWidth="1"/>
    <col min="12559" max="12572" width="8.7109375" style="76" customWidth="1"/>
    <col min="12573" max="12800" width="10.7109375" style="76"/>
    <col min="12801" max="12814" width="11" style="76" customWidth="1"/>
    <col min="12815" max="12828" width="8.7109375" style="76" customWidth="1"/>
    <col min="12829" max="13056" width="10.7109375" style="76"/>
    <col min="13057" max="13070" width="11" style="76" customWidth="1"/>
    <col min="13071" max="13084" width="8.7109375" style="76" customWidth="1"/>
    <col min="13085" max="13312" width="10.7109375" style="76"/>
    <col min="13313" max="13326" width="11" style="76" customWidth="1"/>
    <col min="13327" max="13340" width="8.7109375" style="76" customWidth="1"/>
    <col min="13341" max="13568" width="10.7109375" style="76"/>
    <col min="13569" max="13582" width="11" style="76" customWidth="1"/>
    <col min="13583" max="13596" width="8.7109375" style="76" customWidth="1"/>
    <col min="13597" max="13824" width="10.7109375" style="76"/>
    <col min="13825" max="13838" width="11" style="76" customWidth="1"/>
    <col min="13839" max="13852" width="8.7109375" style="76" customWidth="1"/>
    <col min="13853" max="14080" width="10.7109375" style="76"/>
    <col min="14081" max="14094" width="11" style="76" customWidth="1"/>
    <col min="14095" max="14108" width="8.7109375" style="76" customWidth="1"/>
    <col min="14109" max="14336" width="10.7109375" style="76"/>
    <col min="14337" max="14350" width="11" style="76" customWidth="1"/>
    <col min="14351" max="14364" width="8.7109375" style="76" customWidth="1"/>
    <col min="14365" max="14592" width="10.7109375" style="76"/>
    <col min="14593" max="14606" width="11" style="76" customWidth="1"/>
    <col min="14607" max="14620" width="8.7109375" style="76" customWidth="1"/>
    <col min="14621" max="14848" width="10.7109375" style="76"/>
    <col min="14849" max="14862" width="11" style="76" customWidth="1"/>
    <col min="14863" max="14876" width="8.7109375" style="76" customWidth="1"/>
    <col min="14877" max="15104" width="10.7109375" style="76"/>
    <col min="15105" max="15118" width="11" style="76" customWidth="1"/>
    <col min="15119" max="15132" width="8.7109375" style="76" customWidth="1"/>
    <col min="15133" max="15360" width="10.7109375" style="76"/>
    <col min="15361" max="15374" width="11" style="76" customWidth="1"/>
    <col min="15375" max="15388" width="8.7109375" style="76" customWidth="1"/>
    <col min="15389" max="15616" width="10.7109375" style="76"/>
    <col min="15617" max="15630" width="11" style="76" customWidth="1"/>
    <col min="15631" max="15644" width="8.7109375" style="76" customWidth="1"/>
    <col min="15645" max="15872" width="10.7109375" style="76"/>
    <col min="15873" max="15886" width="11" style="76" customWidth="1"/>
    <col min="15887" max="15900" width="8.7109375" style="76" customWidth="1"/>
    <col min="15901" max="16128" width="10.7109375" style="76"/>
    <col min="16129" max="16142" width="11" style="76" customWidth="1"/>
    <col min="16143" max="16156" width="8.7109375" style="76" customWidth="1"/>
    <col min="16157" max="16384" width="10.7109375" style="76"/>
  </cols>
  <sheetData>
    <row r="1" spans="1:186" ht="20.100000000000001" customHeight="1">
      <c r="A1" s="66"/>
      <c r="B1" s="67"/>
      <c r="C1" s="68"/>
      <c r="D1" s="69"/>
      <c r="E1" s="70"/>
      <c r="F1" s="70"/>
      <c r="G1" s="70"/>
      <c r="H1" s="70"/>
      <c r="I1" s="70"/>
      <c r="J1" s="71"/>
      <c r="K1" s="72"/>
      <c r="L1" s="73" t="s">
        <v>7</v>
      </c>
      <c r="M1" s="587" t="str">
        <f>RESUM!O2</f>
        <v>DT-QT 160 P</v>
      </c>
      <c r="N1" s="588"/>
    </row>
    <row r="2" spans="1:186" ht="20.100000000000001" customHeight="1">
      <c r="A2" s="77"/>
      <c r="C2" s="78"/>
      <c r="D2" s="678" t="str">
        <f>RESUM!G2</f>
        <v>MAC QT 160 P</v>
      </c>
      <c r="E2" s="679"/>
      <c r="F2" s="679"/>
      <c r="G2" s="679"/>
      <c r="H2" s="679"/>
      <c r="I2" s="679"/>
      <c r="J2" s="679"/>
      <c r="K2" s="680"/>
      <c r="L2" s="79" t="s">
        <v>8</v>
      </c>
      <c r="M2" s="681" t="str">
        <f>RESUM!O3</f>
        <v>06</v>
      </c>
      <c r="N2" s="682"/>
    </row>
    <row r="3" spans="1:186" ht="20.100000000000001" customHeight="1">
      <c r="A3" s="77"/>
      <c r="C3" s="78"/>
      <c r="D3" s="594" t="s">
        <v>9</v>
      </c>
      <c r="E3" s="595"/>
      <c r="F3" s="595"/>
      <c r="G3" s="595"/>
      <c r="H3" s="595"/>
      <c r="I3" s="595"/>
      <c r="J3" s="595"/>
      <c r="K3" s="596"/>
      <c r="L3" s="79" t="s">
        <v>10</v>
      </c>
      <c r="M3" s="597" t="s">
        <v>11</v>
      </c>
      <c r="N3" s="593"/>
      <c r="O3" s="492"/>
      <c r="P3" s="492"/>
      <c r="Q3" s="492"/>
      <c r="R3" s="492"/>
      <c r="S3" s="492"/>
      <c r="T3" s="492"/>
      <c r="U3" s="492"/>
      <c r="V3" s="492"/>
      <c r="W3" s="492"/>
      <c r="X3" s="492"/>
      <c r="Y3" s="492"/>
      <c r="Z3" s="492"/>
      <c r="AA3" s="492"/>
      <c r="AB3" s="492"/>
      <c r="AC3" s="492"/>
      <c r="AD3" s="492"/>
      <c r="AE3" s="492"/>
      <c r="AF3" s="492"/>
      <c r="AG3" s="492"/>
      <c r="AH3" s="493"/>
      <c r="AI3" s="493"/>
      <c r="AJ3" s="493"/>
      <c r="AK3" s="493"/>
      <c r="AL3" s="493"/>
      <c r="AM3" s="493"/>
      <c r="AN3" s="493"/>
      <c r="AO3" s="493"/>
      <c r="AP3" s="493"/>
      <c r="AQ3" s="493"/>
      <c r="AR3" s="493"/>
      <c r="AS3" s="493"/>
      <c r="AT3" s="493"/>
      <c r="AU3" s="493"/>
      <c r="AV3" s="493"/>
      <c r="AW3" s="493"/>
      <c r="AX3" s="493"/>
      <c r="AY3" s="493"/>
      <c r="AZ3" s="493"/>
      <c r="BA3" s="493"/>
      <c r="BB3" s="493"/>
      <c r="BC3" s="493"/>
      <c r="BD3" s="493"/>
      <c r="BE3" s="493"/>
      <c r="BF3" s="493"/>
      <c r="BG3" s="493"/>
      <c r="BH3" s="493"/>
      <c r="BI3" s="493"/>
      <c r="BJ3" s="493"/>
      <c r="BK3" s="493"/>
      <c r="BL3" s="493"/>
      <c r="BM3" s="493"/>
      <c r="BN3" s="493"/>
      <c r="BO3" s="493"/>
      <c r="BP3" s="493"/>
      <c r="BQ3" s="493"/>
      <c r="BR3" s="493"/>
      <c r="BS3" s="493"/>
      <c r="BT3" s="493"/>
      <c r="BU3" s="493"/>
      <c r="BV3" s="493"/>
      <c r="BW3" s="493"/>
      <c r="BX3" s="493"/>
      <c r="BY3" s="493"/>
      <c r="BZ3" s="493"/>
      <c r="CA3" s="493"/>
      <c r="CB3" s="493"/>
      <c r="CC3" s="493"/>
      <c r="CD3" s="493"/>
      <c r="CE3" s="493"/>
      <c r="CF3" s="493"/>
      <c r="CG3" s="493"/>
      <c r="CH3" s="493"/>
      <c r="CI3" s="493"/>
      <c r="CJ3" s="493"/>
      <c r="CK3" s="493"/>
      <c r="CL3" s="493"/>
      <c r="CM3" s="493"/>
      <c r="CN3" s="493"/>
      <c r="CO3" s="493"/>
      <c r="CP3" s="493"/>
      <c r="CQ3" s="493"/>
      <c r="CR3" s="493"/>
      <c r="CS3" s="493"/>
      <c r="CT3" s="493"/>
      <c r="CU3" s="493"/>
      <c r="CV3" s="493"/>
      <c r="CW3" s="493"/>
      <c r="CX3" s="493"/>
      <c r="CY3" s="493"/>
      <c r="CZ3" s="493"/>
      <c r="DA3" s="493"/>
      <c r="DB3" s="493"/>
      <c r="DC3" s="493"/>
      <c r="DD3" s="493"/>
      <c r="DE3" s="493"/>
      <c r="DF3" s="493"/>
      <c r="DG3" s="493"/>
      <c r="DH3" s="493"/>
      <c r="DI3" s="493"/>
      <c r="DJ3" s="493"/>
      <c r="DK3" s="493"/>
      <c r="DL3" s="493"/>
      <c r="DM3" s="493"/>
      <c r="DN3" s="493"/>
      <c r="DO3" s="493"/>
      <c r="DP3" s="493"/>
      <c r="DQ3" s="493"/>
      <c r="DR3" s="493"/>
      <c r="DS3" s="493"/>
      <c r="DT3" s="493"/>
      <c r="DU3" s="493"/>
      <c r="DV3" s="493"/>
      <c r="DW3" s="493"/>
      <c r="DX3" s="493"/>
      <c r="DY3" s="493"/>
      <c r="DZ3" s="493"/>
      <c r="EA3" s="493"/>
      <c r="EB3" s="493"/>
      <c r="EC3" s="493"/>
      <c r="ED3" s="493"/>
      <c r="EE3" s="493"/>
      <c r="EF3" s="493"/>
      <c r="EG3" s="493"/>
      <c r="EH3" s="493"/>
      <c r="EI3" s="493"/>
      <c r="EJ3" s="493"/>
      <c r="EK3" s="493"/>
      <c r="EL3" s="493"/>
      <c r="EM3" s="493"/>
      <c r="EN3" s="493"/>
      <c r="EO3" s="493"/>
      <c r="EP3" s="493"/>
      <c r="EQ3" s="493"/>
      <c r="ER3" s="493"/>
      <c r="ES3" s="493"/>
      <c r="ET3" s="493"/>
      <c r="EU3" s="493"/>
      <c r="EV3" s="493"/>
      <c r="EW3" s="493"/>
      <c r="EX3" s="493"/>
      <c r="EY3" s="493"/>
      <c r="EZ3" s="493"/>
      <c r="FA3" s="493"/>
      <c r="FB3" s="493"/>
      <c r="FC3" s="493"/>
      <c r="FD3" s="493"/>
      <c r="FE3" s="493"/>
      <c r="FF3" s="493"/>
      <c r="FG3" s="493"/>
      <c r="FH3" s="493"/>
      <c r="FI3" s="493"/>
      <c r="FJ3" s="493"/>
      <c r="FK3" s="493"/>
      <c r="FL3" s="493"/>
      <c r="FM3" s="493"/>
      <c r="FN3" s="493"/>
      <c r="FO3" s="493"/>
      <c r="FP3" s="493"/>
      <c r="FQ3" s="493"/>
      <c r="FR3" s="493"/>
      <c r="FS3" s="493"/>
      <c r="FT3" s="493"/>
      <c r="FU3" s="493"/>
      <c r="FV3" s="493"/>
      <c r="FW3" s="493"/>
      <c r="FX3" s="493"/>
      <c r="FY3" s="493"/>
      <c r="FZ3" s="493"/>
      <c r="GA3" s="493"/>
      <c r="GB3" s="493"/>
      <c r="GC3" s="493"/>
      <c r="GD3" s="493"/>
    </row>
    <row r="4" spans="1:186" ht="20.100000000000001" customHeight="1">
      <c r="A4" s="77"/>
      <c r="C4" s="78"/>
      <c r="D4" s="572" t="s">
        <v>12</v>
      </c>
      <c r="E4" s="573"/>
      <c r="F4" s="573"/>
      <c r="G4" s="573"/>
      <c r="H4" s="573"/>
      <c r="I4" s="573"/>
      <c r="J4" s="573"/>
      <c r="K4" s="574"/>
      <c r="L4" s="79" t="s">
        <v>13</v>
      </c>
      <c r="M4" s="575">
        <f>RESUM!O5</f>
        <v>45239</v>
      </c>
      <c r="N4" s="593"/>
      <c r="O4" s="492"/>
      <c r="P4" s="492"/>
      <c r="Q4" s="492"/>
      <c r="R4" s="492"/>
      <c r="S4" s="492"/>
      <c r="T4" s="492"/>
      <c r="U4" s="492"/>
      <c r="V4" s="492"/>
      <c r="W4" s="492"/>
      <c r="X4" s="492"/>
      <c r="Y4" s="492"/>
      <c r="Z4" s="492"/>
      <c r="AA4" s="492"/>
      <c r="AB4" s="492"/>
      <c r="AC4" s="492"/>
      <c r="AD4" s="492"/>
      <c r="AE4" s="492"/>
      <c r="AF4" s="492"/>
      <c r="AG4" s="492"/>
      <c r="AH4" s="493"/>
      <c r="AI4" s="493"/>
      <c r="AJ4" s="493"/>
      <c r="AK4" s="493"/>
      <c r="AL4" s="493"/>
      <c r="AM4" s="493"/>
      <c r="AN4" s="493"/>
      <c r="AO4" s="493"/>
      <c r="AP4" s="493"/>
      <c r="AQ4" s="493"/>
      <c r="AR4" s="493"/>
      <c r="AS4" s="493"/>
      <c r="AT4" s="493"/>
      <c r="AU4" s="493"/>
      <c r="AV4" s="493"/>
      <c r="AW4" s="493"/>
      <c r="AX4" s="493"/>
      <c r="AY4" s="493"/>
      <c r="AZ4" s="493"/>
      <c r="BA4" s="493"/>
      <c r="BB4" s="493"/>
      <c r="BC4" s="493"/>
      <c r="BD4" s="493"/>
      <c r="BE4" s="493"/>
      <c r="BF4" s="493"/>
      <c r="BG4" s="493"/>
      <c r="BH4" s="493"/>
      <c r="BI4" s="493"/>
      <c r="BJ4" s="493"/>
      <c r="BK4" s="493"/>
      <c r="BL4" s="493"/>
      <c r="BM4" s="493"/>
      <c r="BN4" s="493"/>
      <c r="BO4" s="493"/>
      <c r="BP4" s="493"/>
      <c r="BQ4" s="493"/>
      <c r="BR4" s="493"/>
      <c r="BS4" s="493"/>
      <c r="BT4" s="493"/>
      <c r="BU4" s="493"/>
      <c r="BV4" s="493"/>
      <c r="BW4" s="493"/>
      <c r="BX4" s="493"/>
      <c r="BY4" s="493"/>
      <c r="BZ4" s="493"/>
      <c r="CA4" s="493"/>
      <c r="CB4" s="493"/>
      <c r="CC4" s="493"/>
      <c r="CD4" s="493"/>
      <c r="CE4" s="493"/>
      <c r="CF4" s="493"/>
      <c r="CG4" s="493"/>
      <c r="CH4" s="493"/>
      <c r="CI4" s="493"/>
      <c r="CJ4" s="493"/>
      <c r="CK4" s="493"/>
      <c r="CL4" s="493"/>
      <c r="CM4" s="493"/>
      <c r="CN4" s="493"/>
      <c r="CO4" s="493"/>
      <c r="CP4" s="493"/>
      <c r="CQ4" s="493"/>
      <c r="CR4" s="493"/>
      <c r="CS4" s="493"/>
      <c r="CT4" s="493"/>
      <c r="CU4" s="493"/>
      <c r="CV4" s="493"/>
      <c r="CW4" s="493"/>
      <c r="CX4" s="493"/>
      <c r="CY4" s="493"/>
      <c r="CZ4" s="493"/>
      <c r="DA4" s="493"/>
      <c r="DB4" s="493"/>
      <c r="DC4" s="493"/>
      <c r="DD4" s="493"/>
      <c r="DE4" s="493"/>
      <c r="DF4" s="493"/>
      <c r="DG4" s="493"/>
      <c r="DH4" s="493"/>
      <c r="DI4" s="493"/>
      <c r="DJ4" s="493"/>
      <c r="DK4" s="493"/>
      <c r="DL4" s="493"/>
      <c r="DM4" s="493"/>
      <c r="DN4" s="493"/>
      <c r="DO4" s="493"/>
      <c r="DP4" s="493"/>
      <c r="DQ4" s="493"/>
      <c r="DR4" s="493"/>
      <c r="DS4" s="493"/>
      <c r="DT4" s="493"/>
      <c r="DU4" s="493"/>
      <c r="DV4" s="493"/>
      <c r="DW4" s="493"/>
      <c r="DX4" s="493"/>
      <c r="DY4" s="493"/>
      <c r="DZ4" s="493"/>
      <c r="EA4" s="493"/>
      <c r="EB4" s="493"/>
      <c r="EC4" s="493"/>
      <c r="ED4" s="493"/>
      <c r="EE4" s="493"/>
      <c r="EF4" s="493"/>
      <c r="EG4" s="493"/>
      <c r="EH4" s="493"/>
      <c r="EI4" s="493"/>
      <c r="EJ4" s="493"/>
      <c r="EK4" s="493"/>
      <c r="EL4" s="493"/>
      <c r="EM4" s="493"/>
      <c r="EN4" s="493"/>
      <c r="EO4" s="493"/>
      <c r="EP4" s="493"/>
      <c r="EQ4" s="493"/>
      <c r="ER4" s="493"/>
      <c r="ES4" s="493"/>
      <c r="ET4" s="493"/>
      <c r="EU4" s="493"/>
      <c r="EV4" s="493"/>
      <c r="EW4" s="493"/>
      <c r="EX4" s="493"/>
      <c r="EY4" s="493"/>
      <c r="EZ4" s="493"/>
      <c r="FA4" s="493"/>
      <c r="FB4" s="493"/>
      <c r="FC4" s="493"/>
      <c r="FD4" s="493"/>
      <c r="FE4" s="493"/>
      <c r="FF4" s="493"/>
      <c r="FG4" s="493"/>
      <c r="FH4" s="493"/>
      <c r="FI4" s="493"/>
      <c r="FJ4" s="493"/>
      <c r="FK4" s="493"/>
      <c r="FL4" s="493"/>
      <c r="FM4" s="493"/>
      <c r="FN4" s="493"/>
      <c r="FO4" s="493"/>
      <c r="FP4" s="493"/>
      <c r="FQ4" s="493"/>
      <c r="FR4" s="493"/>
      <c r="FS4" s="493"/>
      <c r="FT4" s="493"/>
      <c r="FU4" s="493"/>
      <c r="FV4" s="493"/>
      <c r="FW4" s="493"/>
      <c r="FX4" s="493"/>
      <c r="FY4" s="493"/>
      <c r="FZ4" s="493"/>
      <c r="GA4" s="493"/>
      <c r="GB4" s="493"/>
      <c r="GC4" s="493"/>
      <c r="GD4" s="493"/>
    </row>
    <row r="5" spans="1:186" ht="20.100000000000001" customHeight="1" thickBot="1">
      <c r="A5" s="80"/>
      <c r="B5" s="81"/>
      <c r="C5" s="82"/>
      <c r="D5" s="83"/>
      <c r="E5" s="84"/>
      <c r="F5" s="85"/>
      <c r="G5" s="84"/>
      <c r="H5" s="84"/>
      <c r="I5" s="85"/>
      <c r="J5" s="86"/>
      <c r="K5" s="87"/>
      <c r="L5" s="84"/>
      <c r="M5" s="580"/>
      <c r="N5" s="581"/>
      <c r="O5" s="492"/>
      <c r="P5" s="492"/>
      <c r="Q5" s="492"/>
      <c r="R5" s="492"/>
      <c r="S5" s="492"/>
      <c r="T5" s="492"/>
      <c r="U5" s="492"/>
      <c r="V5" s="492"/>
      <c r="W5" s="492"/>
      <c r="X5" s="492"/>
      <c r="Y5" s="492"/>
      <c r="Z5" s="492"/>
      <c r="AA5" s="492"/>
      <c r="AB5" s="492"/>
      <c r="AC5" s="492"/>
      <c r="AD5" s="492"/>
      <c r="AE5" s="492"/>
      <c r="AF5" s="492"/>
      <c r="AG5" s="492"/>
      <c r="AH5" s="493"/>
      <c r="AI5" s="493"/>
      <c r="AJ5" s="493"/>
      <c r="AK5" s="493"/>
      <c r="AL5" s="493"/>
      <c r="AM5" s="493"/>
      <c r="AN5" s="493"/>
      <c r="AO5" s="493"/>
      <c r="AP5" s="493"/>
      <c r="AQ5" s="493"/>
      <c r="AR5" s="493"/>
      <c r="AS5" s="493"/>
      <c r="AT5" s="493"/>
      <c r="AU5" s="493"/>
      <c r="AV5" s="493"/>
      <c r="AW5" s="493"/>
      <c r="AX5" s="493"/>
      <c r="AY5" s="493"/>
      <c r="AZ5" s="493"/>
      <c r="BA5" s="493"/>
      <c r="BB5" s="493"/>
      <c r="BC5" s="493"/>
      <c r="BD5" s="493"/>
      <c r="BE5" s="493"/>
      <c r="BF5" s="493"/>
      <c r="BG5" s="493"/>
      <c r="BH5" s="493"/>
      <c r="BI5" s="493"/>
      <c r="BJ5" s="493"/>
      <c r="BK5" s="493"/>
      <c r="BL5" s="493"/>
      <c r="BM5" s="493"/>
      <c r="BN5" s="493"/>
      <c r="BO5" s="493"/>
      <c r="BP5" s="493"/>
      <c r="BQ5" s="493"/>
      <c r="BR5" s="493"/>
      <c r="BS5" s="493"/>
      <c r="BT5" s="493"/>
      <c r="BU5" s="493"/>
      <c r="BV5" s="493"/>
      <c r="BW5" s="493"/>
      <c r="BX5" s="493"/>
      <c r="BY5" s="493"/>
      <c r="BZ5" s="493"/>
      <c r="CA5" s="493"/>
      <c r="CB5" s="493"/>
      <c r="CC5" s="493"/>
      <c r="CD5" s="493"/>
      <c r="CE5" s="493"/>
      <c r="CF5" s="493"/>
      <c r="CG5" s="493"/>
      <c r="CH5" s="493"/>
      <c r="CI5" s="493"/>
      <c r="CJ5" s="493"/>
      <c r="CK5" s="493"/>
      <c r="CL5" s="493"/>
      <c r="CM5" s="493"/>
      <c r="CN5" s="493"/>
      <c r="CO5" s="493"/>
      <c r="CP5" s="493"/>
      <c r="CQ5" s="493"/>
      <c r="CR5" s="493"/>
      <c r="CS5" s="493"/>
      <c r="CT5" s="493"/>
      <c r="CU5" s="493"/>
      <c r="CV5" s="493"/>
      <c r="CW5" s="493"/>
      <c r="CX5" s="493"/>
      <c r="CY5" s="493"/>
      <c r="CZ5" s="493"/>
      <c r="DA5" s="493"/>
      <c r="DB5" s="493"/>
      <c r="DC5" s="493"/>
      <c r="DD5" s="493"/>
      <c r="DE5" s="493"/>
      <c r="DF5" s="493"/>
      <c r="DG5" s="493"/>
      <c r="DH5" s="493"/>
      <c r="DI5" s="493"/>
      <c r="DJ5" s="493"/>
      <c r="DK5" s="493"/>
      <c r="DL5" s="493"/>
      <c r="DM5" s="493"/>
      <c r="DN5" s="493"/>
      <c r="DO5" s="493"/>
      <c r="DP5" s="493"/>
      <c r="DQ5" s="493"/>
      <c r="DR5" s="493"/>
      <c r="DS5" s="493"/>
      <c r="DT5" s="493"/>
      <c r="DU5" s="493"/>
      <c r="DV5" s="493"/>
      <c r="DW5" s="493"/>
      <c r="DX5" s="493"/>
      <c r="DY5" s="493"/>
      <c r="DZ5" s="493"/>
      <c r="EA5" s="493"/>
      <c r="EB5" s="493"/>
      <c r="EC5" s="493"/>
      <c r="ED5" s="493"/>
      <c r="EE5" s="493"/>
      <c r="EF5" s="493"/>
      <c r="EG5" s="493"/>
      <c r="EH5" s="493"/>
      <c r="EI5" s="493"/>
      <c r="EJ5" s="493"/>
      <c r="EK5" s="493"/>
      <c r="EL5" s="493"/>
      <c r="EM5" s="493"/>
      <c r="EN5" s="493"/>
      <c r="EO5" s="493"/>
      <c r="EP5" s="493"/>
      <c r="EQ5" s="493"/>
      <c r="ER5" s="493"/>
      <c r="ES5" s="493"/>
      <c r="ET5" s="493"/>
      <c r="EU5" s="493"/>
      <c r="EV5" s="493"/>
      <c r="EW5" s="493"/>
      <c r="EX5" s="493"/>
      <c r="EY5" s="493"/>
      <c r="EZ5" s="493"/>
      <c r="FA5" s="493"/>
      <c r="FB5" s="493"/>
      <c r="FC5" s="493"/>
      <c r="FD5" s="493"/>
      <c r="FE5" s="493"/>
      <c r="FF5" s="493"/>
      <c r="FG5" s="493"/>
      <c r="FH5" s="493"/>
      <c r="FI5" s="493"/>
      <c r="FJ5" s="493"/>
      <c r="FK5" s="493"/>
      <c r="FL5" s="493"/>
      <c r="FM5" s="493"/>
      <c r="FN5" s="493"/>
      <c r="FO5" s="493"/>
      <c r="FP5" s="493"/>
      <c r="FQ5" s="493"/>
      <c r="FR5" s="493"/>
      <c r="FS5" s="493"/>
      <c r="FT5" s="493"/>
      <c r="FU5" s="493"/>
      <c r="FV5" s="493"/>
      <c r="FW5" s="493"/>
      <c r="FX5" s="493"/>
      <c r="FY5" s="493"/>
      <c r="FZ5" s="493"/>
      <c r="GA5" s="493"/>
      <c r="GB5" s="493"/>
      <c r="GC5" s="493"/>
      <c r="GD5" s="493"/>
    </row>
    <row r="6" spans="1:186" ht="21" customHeight="1" thickBot="1">
      <c r="B6" s="88"/>
      <c r="D6" s="90"/>
      <c r="E6" s="90"/>
      <c r="F6" s="90"/>
      <c r="G6" s="91"/>
      <c r="H6" s="91"/>
      <c r="I6" s="92"/>
      <c r="J6" s="92"/>
      <c r="K6" s="91"/>
      <c r="L6" s="91"/>
      <c r="M6" s="91"/>
      <c r="N6" s="88"/>
      <c r="O6" s="492"/>
      <c r="P6" s="492"/>
      <c r="Q6" s="492"/>
      <c r="R6" s="492"/>
      <c r="S6" s="492"/>
      <c r="T6" s="492"/>
      <c r="U6" s="492"/>
      <c r="V6" s="492"/>
      <c r="W6" s="492"/>
      <c r="X6" s="492"/>
      <c r="Y6" s="492"/>
      <c r="Z6" s="492"/>
      <c r="AA6" s="492"/>
      <c r="AB6" s="492"/>
      <c r="AC6" s="492"/>
      <c r="AD6" s="492"/>
      <c r="AE6" s="492"/>
      <c r="AF6" s="492"/>
      <c r="AG6" s="492"/>
      <c r="AH6" s="493"/>
      <c r="AI6" s="493"/>
      <c r="AJ6" s="493"/>
      <c r="AK6" s="493"/>
      <c r="AL6" s="493"/>
      <c r="AM6" s="493"/>
      <c r="AN6" s="493"/>
      <c r="AO6" s="493"/>
      <c r="AP6" s="493"/>
      <c r="AQ6" s="493"/>
      <c r="AR6" s="493"/>
      <c r="AS6" s="493"/>
      <c r="AT6" s="493"/>
      <c r="AU6" s="493"/>
      <c r="AV6" s="493"/>
      <c r="AW6" s="493"/>
      <c r="AX6" s="493"/>
      <c r="AY6" s="493"/>
      <c r="AZ6" s="493"/>
      <c r="BA6" s="493"/>
      <c r="BB6" s="493"/>
      <c r="BC6" s="493"/>
      <c r="BD6" s="493"/>
      <c r="BE6" s="493"/>
      <c r="BF6" s="493"/>
      <c r="BG6" s="493"/>
      <c r="BH6" s="493"/>
      <c r="BI6" s="493"/>
      <c r="BJ6" s="493"/>
      <c r="BK6" s="493"/>
      <c r="BL6" s="493"/>
      <c r="BM6" s="493"/>
      <c r="BN6" s="493"/>
      <c r="BO6" s="493"/>
      <c r="BP6" s="493"/>
      <c r="BQ6" s="493"/>
      <c r="BR6" s="493"/>
      <c r="BS6" s="493"/>
      <c r="BT6" s="493"/>
      <c r="BU6" s="493"/>
      <c r="BV6" s="493"/>
      <c r="BW6" s="493"/>
      <c r="BX6" s="493"/>
      <c r="BY6" s="493"/>
      <c r="BZ6" s="493"/>
      <c r="CA6" s="493"/>
      <c r="CB6" s="493"/>
      <c r="CC6" s="493"/>
      <c r="CD6" s="493"/>
      <c r="CE6" s="493"/>
      <c r="CF6" s="493"/>
      <c r="CG6" s="493"/>
      <c r="CH6" s="493"/>
      <c r="CI6" s="493"/>
      <c r="CJ6" s="493"/>
      <c r="CK6" s="493"/>
      <c r="CL6" s="493"/>
      <c r="CM6" s="493"/>
      <c r="CN6" s="493"/>
      <c r="CO6" s="493"/>
      <c r="CP6" s="493"/>
      <c r="CQ6" s="493"/>
      <c r="CR6" s="493"/>
      <c r="CS6" s="493"/>
      <c r="CT6" s="493"/>
      <c r="CU6" s="493"/>
      <c r="CV6" s="493"/>
      <c r="CW6" s="493"/>
      <c r="CX6" s="493"/>
      <c r="CY6" s="493"/>
      <c r="CZ6" s="493"/>
      <c r="DA6" s="493"/>
      <c r="DB6" s="493"/>
      <c r="DC6" s="493"/>
      <c r="DD6" s="493"/>
      <c r="DE6" s="493"/>
      <c r="DF6" s="493"/>
      <c r="DG6" s="493"/>
      <c r="DH6" s="493"/>
      <c r="DI6" s="493"/>
      <c r="DJ6" s="493"/>
      <c r="DK6" s="493"/>
      <c r="DL6" s="493"/>
      <c r="DM6" s="493"/>
      <c r="DN6" s="493"/>
      <c r="DO6" s="493"/>
      <c r="DP6" s="493"/>
      <c r="DQ6" s="493"/>
      <c r="DR6" s="493"/>
      <c r="DS6" s="493"/>
      <c r="DT6" s="493"/>
      <c r="DU6" s="493"/>
      <c r="DV6" s="493"/>
      <c r="DW6" s="493"/>
      <c r="DX6" s="493"/>
      <c r="DY6" s="493"/>
      <c r="DZ6" s="493"/>
      <c r="EA6" s="493"/>
      <c r="EB6" s="493"/>
      <c r="EC6" s="493"/>
      <c r="ED6" s="493"/>
      <c r="EE6" s="493"/>
      <c r="EF6" s="493"/>
      <c r="EG6" s="493"/>
      <c r="EH6" s="493"/>
      <c r="EI6" s="493"/>
      <c r="EJ6" s="493"/>
      <c r="EK6" s="493"/>
      <c r="EL6" s="493"/>
      <c r="EM6" s="493"/>
      <c r="EN6" s="493"/>
      <c r="EO6" s="493"/>
      <c r="EP6" s="493"/>
      <c r="EQ6" s="493"/>
      <c r="ER6" s="493"/>
      <c r="ES6" s="493"/>
      <c r="ET6" s="493"/>
      <c r="EU6" s="493"/>
      <c r="EV6" s="493"/>
      <c r="EW6" s="493"/>
      <c r="EX6" s="493"/>
      <c r="EY6" s="493"/>
      <c r="EZ6" s="493"/>
      <c r="FA6" s="493"/>
      <c r="FB6" s="493"/>
      <c r="FC6" s="493"/>
      <c r="FD6" s="493"/>
      <c r="FE6" s="493"/>
      <c r="FF6" s="493"/>
      <c r="FG6" s="493"/>
      <c r="FH6" s="493"/>
      <c r="FI6" s="493"/>
      <c r="FJ6" s="493"/>
      <c r="FK6" s="493"/>
      <c r="FL6" s="493"/>
      <c r="FM6" s="493"/>
      <c r="FN6" s="493"/>
      <c r="FO6" s="493"/>
      <c r="FP6" s="493"/>
      <c r="FQ6" s="493"/>
      <c r="FR6" s="493"/>
      <c r="FS6" s="493"/>
      <c r="FT6" s="493"/>
      <c r="FU6" s="493"/>
      <c r="FV6" s="493"/>
      <c r="FW6" s="493"/>
      <c r="FX6" s="493"/>
      <c r="FY6" s="493"/>
      <c r="FZ6" s="493"/>
      <c r="GA6" s="493"/>
      <c r="GB6" s="493"/>
      <c r="GC6" s="493"/>
      <c r="GD6" s="493"/>
    </row>
    <row r="7" spans="1:186" s="101" customFormat="1" ht="18" customHeight="1" thickBot="1">
      <c r="A7" s="93" t="s">
        <v>14</v>
      </c>
      <c r="B7" s="94"/>
      <c r="C7" s="94"/>
      <c r="D7" s="95"/>
      <c r="E7" s="96" t="s">
        <v>15</v>
      </c>
      <c r="F7" s="97"/>
      <c r="G7" s="98" t="s">
        <v>16</v>
      </c>
      <c r="H7" s="658" t="s">
        <v>246</v>
      </c>
      <c r="I7" s="658"/>
      <c r="J7" s="695" t="s">
        <v>222</v>
      </c>
      <c r="K7" s="695"/>
      <c r="L7" s="695"/>
      <c r="M7" s="658" t="s">
        <v>247</v>
      </c>
      <c r="N7" s="660"/>
      <c r="O7" s="494"/>
      <c r="P7" s="494"/>
      <c r="Q7" s="494"/>
      <c r="R7" s="494"/>
      <c r="S7" s="494"/>
      <c r="T7" s="494"/>
      <c r="U7" s="494"/>
      <c r="V7" s="494"/>
      <c r="W7" s="494"/>
      <c r="X7" s="494"/>
      <c r="Y7" s="494"/>
      <c r="Z7" s="494"/>
      <c r="AA7" s="494"/>
      <c r="AB7" s="494"/>
      <c r="AC7" s="494"/>
      <c r="AD7" s="494"/>
      <c r="AE7" s="494"/>
      <c r="AF7" s="494"/>
      <c r="AG7" s="494"/>
      <c r="AH7" s="494"/>
      <c r="AI7" s="494"/>
      <c r="AJ7" s="494"/>
      <c r="AK7" s="494"/>
      <c r="AL7" s="494"/>
      <c r="AM7" s="494"/>
      <c r="AN7" s="494"/>
      <c r="AO7" s="494"/>
      <c r="AP7" s="494"/>
      <c r="AQ7" s="494"/>
      <c r="AR7" s="494"/>
      <c r="AS7" s="494"/>
      <c r="AT7" s="494"/>
      <c r="AU7" s="494"/>
      <c r="AV7" s="494"/>
      <c r="AW7" s="494"/>
      <c r="AX7" s="494"/>
      <c r="AY7" s="494"/>
      <c r="AZ7" s="494"/>
      <c r="BA7" s="494"/>
      <c r="BB7" s="494"/>
      <c r="BC7" s="494"/>
      <c r="BD7" s="494"/>
      <c r="BE7" s="494"/>
      <c r="BF7" s="494"/>
      <c r="BG7" s="494"/>
      <c r="BH7" s="494"/>
      <c r="BI7" s="494"/>
      <c r="BJ7" s="494"/>
      <c r="BK7" s="494"/>
      <c r="BL7" s="494"/>
      <c r="BM7" s="494"/>
      <c r="BN7" s="494"/>
      <c r="BO7" s="494"/>
      <c r="BP7" s="494"/>
      <c r="BQ7" s="494"/>
      <c r="BR7" s="494"/>
      <c r="BS7" s="494"/>
      <c r="BT7" s="494"/>
      <c r="BU7" s="494"/>
      <c r="BV7" s="494"/>
      <c r="BW7" s="494"/>
      <c r="BX7" s="494"/>
      <c r="BY7" s="494"/>
      <c r="BZ7" s="494"/>
      <c r="CA7" s="494"/>
      <c r="CB7" s="494"/>
      <c r="CC7" s="494"/>
      <c r="CD7" s="494"/>
      <c r="CE7" s="494"/>
      <c r="CF7" s="494"/>
      <c r="CG7" s="494"/>
      <c r="CH7" s="494"/>
      <c r="CI7" s="494"/>
      <c r="CJ7" s="494"/>
      <c r="CK7" s="494"/>
      <c r="CL7" s="494"/>
      <c r="CM7" s="494"/>
      <c r="CN7" s="494"/>
      <c r="CO7" s="494"/>
      <c r="CP7" s="494"/>
      <c r="CQ7" s="494"/>
      <c r="CR7" s="494"/>
      <c r="CS7" s="494"/>
      <c r="CT7" s="494"/>
      <c r="CU7" s="494"/>
      <c r="CV7" s="494"/>
      <c r="CW7" s="494"/>
      <c r="CX7" s="494"/>
      <c r="CY7" s="494"/>
      <c r="CZ7" s="494"/>
      <c r="DA7" s="494"/>
      <c r="DB7" s="494"/>
      <c r="DC7" s="494"/>
      <c r="DD7" s="494"/>
      <c r="DE7" s="494"/>
      <c r="DF7" s="494"/>
      <c r="DG7" s="494"/>
      <c r="DH7" s="494"/>
      <c r="DI7" s="494"/>
      <c r="DJ7" s="494"/>
      <c r="DK7" s="494"/>
      <c r="DL7" s="494"/>
      <c r="DM7" s="494"/>
      <c r="DN7" s="494"/>
      <c r="DO7" s="494"/>
      <c r="DP7" s="494"/>
      <c r="DQ7" s="494"/>
      <c r="DR7" s="494"/>
      <c r="DS7" s="494"/>
      <c r="DT7" s="494"/>
      <c r="DU7" s="494"/>
      <c r="DV7" s="494"/>
      <c r="DW7" s="494"/>
      <c r="DX7" s="494"/>
      <c r="DY7" s="494"/>
      <c r="DZ7" s="494"/>
      <c r="EA7" s="494"/>
      <c r="EB7" s="494"/>
      <c r="EC7" s="494"/>
      <c r="ED7" s="494"/>
      <c r="EE7" s="494"/>
      <c r="EF7" s="494"/>
      <c r="EG7" s="494"/>
      <c r="EH7" s="494"/>
      <c r="EI7" s="494"/>
      <c r="EJ7" s="494"/>
      <c r="EK7" s="494"/>
      <c r="EL7" s="494"/>
      <c r="EM7" s="494"/>
      <c r="EN7" s="494"/>
      <c r="EO7" s="494"/>
      <c r="EP7" s="494"/>
      <c r="EQ7" s="494"/>
      <c r="ER7" s="494"/>
      <c r="ES7" s="494"/>
      <c r="ET7" s="494"/>
      <c r="EU7" s="494"/>
      <c r="EV7" s="494"/>
      <c r="EW7" s="494"/>
      <c r="EX7" s="494"/>
      <c r="EY7" s="494"/>
      <c r="EZ7" s="494"/>
      <c r="FA7" s="494"/>
      <c r="FB7" s="494"/>
      <c r="FC7" s="494"/>
      <c r="FD7" s="494"/>
      <c r="FE7" s="494"/>
      <c r="FF7" s="494"/>
      <c r="FG7" s="494"/>
      <c r="FH7" s="494"/>
      <c r="FI7" s="494"/>
      <c r="FJ7" s="494"/>
      <c r="FK7" s="494"/>
      <c r="FL7" s="494"/>
      <c r="FM7" s="494"/>
      <c r="FN7" s="494"/>
      <c r="FO7" s="494"/>
      <c r="FP7" s="494"/>
      <c r="FQ7" s="494"/>
      <c r="FR7" s="494"/>
      <c r="FS7" s="494"/>
      <c r="FT7" s="494"/>
      <c r="FU7" s="494"/>
      <c r="FV7" s="494"/>
      <c r="FW7" s="494"/>
      <c r="FX7" s="494"/>
      <c r="FY7" s="494"/>
      <c r="FZ7" s="494"/>
      <c r="GA7" s="494"/>
      <c r="GB7" s="494"/>
      <c r="GC7" s="494"/>
      <c r="GD7" s="494"/>
    </row>
    <row r="8" spans="1:186" s="101" customFormat="1" ht="18" customHeight="1" thickBot="1">
      <c r="A8" s="102" t="s">
        <v>17</v>
      </c>
      <c r="B8" s="98"/>
      <c r="C8" s="658" t="s">
        <v>18</v>
      </c>
      <c r="D8" s="656"/>
      <c r="E8" s="103" t="s">
        <v>19</v>
      </c>
      <c r="F8" s="104"/>
      <c r="G8" s="105" t="s">
        <v>20</v>
      </c>
      <c r="H8" s="659"/>
      <c r="I8" s="659"/>
      <c r="J8" s="665" t="s">
        <v>223</v>
      </c>
      <c r="K8" s="665"/>
      <c r="L8" s="665"/>
      <c r="M8" s="661"/>
      <c r="N8" s="662"/>
      <c r="O8" s="494"/>
      <c r="P8" s="494"/>
      <c r="Q8" s="494"/>
      <c r="R8" s="494"/>
      <c r="S8" s="494"/>
      <c r="T8" s="494"/>
      <c r="U8" s="494"/>
      <c r="V8" s="494"/>
      <c r="W8" s="494"/>
      <c r="X8" s="494"/>
      <c r="Y8" s="494"/>
      <c r="Z8" s="494"/>
      <c r="AA8" s="494"/>
      <c r="AB8" s="494"/>
      <c r="AC8" s="494"/>
      <c r="AD8" s="494"/>
      <c r="AE8" s="494"/>
      <c r="AF8" s="494"/>
      <c r="AG8" s="494"/>
      <c r="AH8" s="494"/>
      <c r="AI8" s="494"/>
      <c r="AJ8" s="494"/>
      <c r="AK8" s="494"/>
      <c r="AL8" s="494"/>
      <c r="AM8" s="494"/>
      <c r="AN8" s="494"/>
      <c r="AO8" s="494"/>
      <c r="AP8" s="494"/>
      <c r="AQ8" s="494"/>
      <c r="AR8" s="494"/>
      <c r="AS8" s="494"/>
      <c r="AT8" s="494"/>
      <c r="AU8" s="494"/>
      <c r="AV8" s="494"/>
      <c r="AW8" s="494"/>
      <c r="AX8" s="494"/>
      <c r="AY8" s="494"/>
      <c r="AZ8" s="494"/>
      <c r="BA8" s="494"/>
      <c r="BB8" s="494"/>
      <c r="BC8" s="494"/>
      <c r="BD8" s="494"/>
      <c r="BE8" s="494"/>
      <c r="BF8" s="494"/>
      <c r="BG8" s="494"/>
      <c r="BH8" s="494"/>
      <c r="BI8" s="494"/>
      <c r="BJ8" s="494"/>
      <c r="BK8" s="494"/>
      <c r="BL8" s="494"/>
      <c r="BM8" s="494"/>
      <c r="BN8" s="494"/>
      <c r="BO8" s="494"/>
      <c r="BP8" s="494"/>
      <c r="BQ8" s="494"/>
      <c r="BR8" s="494"/>
      <c r="BS8" s="494"/>
      <c r="BT8" s="494"/>
      <c r="BU8" s="494"/>
      <c r="BV8" s="494"/>
      <c r="BW8" s="494"/>
      <c r="BX8" s="494"/>
      <c r="BY8" s="494"/>
      <c r="BZ8" s="494"/>
      <c r="CA8" s="494"/>
      <c r="CB8" s="494"/>
      <c r="CC8" s="494"/>
      <c r="CD8" s="494"/>
      <c r="CE8" s="494"/>
      <c r="CF8" s="494"/>
      <c r="CG8" s="494"/>
      <c r="CH8" s="494"/>
      <c r="CI8" s="494"/>
      <c r="CJ8" s="494"/>
      <c r="CK8" s="494"/>
      <c r="CL8" s="494"/>
      <c r="CM8" s="494"/>
      <c r="CN8" s="494"/>
      <c r="CO8" s="494"/>
      <c r="CP8" s="494"/>
      <c r="CQ8" s="494"/>
      <c r="CR8" s="494"/>
      <c r="CS8" s="494"/>
      <c r="CT8" s="494"/>
      <c r="CU8" s="494"/>
      <c r="CV8" s="494"/>
      <c r="CW8" s="494"/>
      <c r="CX8" s="494"/>
      <c r="CY8" s="494"/>
      <c r="CZ8" s="494"/>
      <c r="DA8" s="494"/>
      <c r="DB8" s="494"/>
      <c r="DC8" s="494"/>
      <c r="DD8" s="494"/>
      <c r="DE8" s="494"/>
      <c r="DF8" s="494"/>
      <c r="DG8" s="494"/>
      <c r="DH8" s="494"/>
      <c r="DI8" s="494"/>
      <c r="DJ8" s="494"/>
      <c r="DK8" s="494"/>
      <c r="DL8" s="494"/>
      <c r="DM8" s="494"/>
      <c r="DN8" s="494"/>
      <c r="DO8" s="494"/>
      <c r="DP8" s="494"/>
      <c r="DQ8" s="494"/>
      <c r="DR8" s="494"/>
      <c r="DS8" s="494"/>
      <c r="DT8" s="494"/>
      <c r="DU8" s="494"/>
      <c r="DV8" s="494"/>
      <c r="DW8" s="494"/>
      <c r="DX8" s="494"/>
      <c r="DY8" s="494"/>
      <c r="DZ8" s="494"/>
      <c r="EA8" s="494"/>
      <c r="EB8" s="494"/>
      <c r="EC8" s="494"/>
      <c r="ED8" s="494"/>
      <c r="EE8" s="494"/>
      <c r="EF8" s="494"/>
      <c r="EG8" s="494"/>
      <c r="EH8" s="494"/>
      <c r="EI8" s="494"/>
      <c r="EJ8" s="494"/>
      <c r="EK8" s="494"/>
      <c r="EL8" s="494"/>
      <c r="EM8" s="494"/>
      <c r="EN8" s="494"/>
      <c r="EO8" s="494"/>
      <c r="EP8" s="494"/>
      <c r="EQ8" s="494"/>
      <c r="ER8" s="494"/>
      <c r="ES8" s="494"/>
      <c r="ET8" s="494"/>
      <c r="EU8" s="494"/>
      <c r="EV8" s="494"/>
      <c r="EW8" s="494"/>
      <c r="EX8" s="494"/>
      <c r="EY8" s="494"/>
      <c r="EZ8" s="494"/>
      <c r="FA8" s="494"/>
      <c r="FB8" s="494"/>
      <c r="FC8" s="494"/>
      <c r="FD8" s="494"/>
      <c r="FE8" s="494"/>
      <c r="FF8" s="494"/>
      <c r="FG8" s="494"/>
      <c r="FH8" s="494"/>
      <c r="FI8" s="494"/>
      <c r="FJ8" s="494"/>
      <c r="FK8" s="494"/>
      <c r="FL8" s="494"/>
      <c r="FM8" s="494"/>
      <c r="FN8" s="494"/>
      <c r="FO8" s="494"/>
      <c r="FP8" s="494"/>
      <c r="FQ8" s="494"/>
      <c r="FR8" s="494"/>
      <c r="FS8" s="494"/>
      <c r="FT8" s="494"/>
      <c r="FU8" s="494"/>
      <c r="FV8" s="494"/>
      <c r="FW8" s="494"/>
      <c r="FX8" s="494"/>
      <c r="FY8" s="494"/>
      <c r="FZ8" s="494"/>
      <c r="GA8" s="494"/>
      <c r="GB8" s="494"/>
      <c r="GC8" s="494"/>
      <c r="GD8" s="494"/>
    </row>
    <row r="9" spans="1:186" s="101" customFormat="1" ht="18" customHeight="1" thickBot="1">
      <c r="A9" s="381" t="s">
        <v>21</v>
      </c>
      <c r="B9" s="382"/>
      <c r="C9" s="663"/>
      <c r="D9" s="664"/>
      <c r="E9" s="106" t="s">
        <v>22</v>
      </c>
      <c r="F9" s="642">
        <f>RESUM!B10</f>
        <v>4</v>
      </c>
      <c r="G9" s="107" t="s">
        <v>23</v>
      </c>
      <c r="H9" s="99"/>
      <c r="I9" s="666">
        <f>RESUM!B19</f>
        <v>0.46263199999999999</v>
      </c>
      <c r="J9" s="667"/>
      <c r="K9" s="108" t="s">
        <v>24</v>
      </c>
      <c r="M9" s="670">
        <v>387</v>
      </c>
      <c r="N9" s="671"/>
      <c r="O9" s="494"/>
      <c r="P9" s="505" t="s">
        <v>255</v>
      </c>
      <c r="Q9" s="494"/>
      <c r="R9" s="506"/>
      <c r="S9" s="506" t="s">
        <v>32</v>
      </c>
      <c r="T9" s="506"/>
      <c r="U9" s="494"/>
      <c r="V9" s="494"/>
      <c r="W9" s="494"/>
      <c r="X9" s="494"/>
      <c r="Y9" s="494"/>
      <c r="Z9" s="494"/>
      <c r="AA9" s="494"/>
      <c r="AB9" s="494"/>
      <c r="AC9" s="494"/>
      <c r="AD9" s="494"/>
      <c r="AE9" s="494"/>
      <c r="AF9" s="494"/>
      <c r="AG9" s="494"/>
      <c r="AH9" s="494"/>
      <c r="AI9" s="494"/>
      <c r="AJ9" s="494"/>
      <c r="AK9" s="494"/>
      <c r="AL9" s="495"/>
      <c r="AM9" s="495"/>
      <c r="AN9" s="495"/>
      <c r="AO9" s="496"/>
      <c r="AP9" s="495"/>
      <c r="AQ9" s="494"/>
      <c r="AR9" s="494"/>
      <c r="AS9" s="494"/>
      <c r="AT9" s="494"/>
      <c r="AU9" s="494"/>
      <c r="AV9" s="494"/>
      <c r="AW9" s="494"/>
      <c r="AX9" s="494"/>
      <c r="AY9" s="494"/>
      <c r="AZ9" s="494"/>
      <c r="BA9" s="494"/>
      <c r="BB9" s="494"/>
      <c r="BC9" s="494"/>
      <c r="BD9" s="494"/>
      <c r="BE9" s="494"/>
      <c r="BF9" s="494"/>
      <c r="BG9" s="494"/>
      <c r="BH9" s="494"/>
      <c r="BI9" s="494"/>
      <c r="BJ9" s="494"/>
      <c r="BK9" s="494"/>
      <c r="BL9" s="494"/>
      <c r="BM9" s="494"/>
      <c r="BN9" s="494"/>
      <c r="BO9" s="494"/>
      <c r="BP9" s="494"/>
      <c r="BQ9" s="494"/>
      <c r="BR9" s="494"/>
      <c r="BS9" s="494"/>
      <c r="BT9" s="494"/>
      <c r="BU9" s="494"/>
      <c r="BV9" s="494"/>
      <c r="BW9" s="494"/>
      <c r="BX9" s="494"/>
      <c r="BY9" s="494"/>
      <c r="BZ9" s="494"/>
      <c r="CA9" s="494"/>
      <c r="CB9" s="494"/>
      <c r="CC9" s="494"/>
      <c r="CD9" s="494"/>
      <c r="CE9" s="494"/>
      <c r="CF9" s="494"/>
      <c r="CG9" s="494"/>
      <c r="CH9" s="494"/>
      <c r="CI9" s="494"/>
      <c r="CJ9" s="494"/>
      <c r="CK9" s="494"/>
      <c r="CL9" s="494"/>
      <c r="CM9" s="494"/>
      <c r="CN9" s="494"/>
      <c r="CO9" s="494"/>
      <c r="CP9" s="494"/>
      <c r="CQ9" s="494"/>
      <c r="CR9" s="494"/>
      <c r="CS9" s="494"/>
      <c r="CT9" s="494"/>
      <c r="CU9" s="494"/>
      <c r="CV9" s="494"/>
      <c r="CW9" s="494"/>
      <c r="CX9" s="494"/>
      <c r="CY9" s="494"/>
      <c r="CZ9" s="494"/>
      <c r="DA9" s="494"/>
      <c r="DB9" s="494"/>
      <c r="DC9" s="494"/>
      <c r="DD9" s="494"/>
      <c r="DE9" s="494"/>
      <c r="DF9" s="494"/>
      <c r="DG9" s="494"/>
      <c r="DH9" s="494"/>
      <c r="DI9" s="494"/>
      <c r="DJ9" s="494"/>
      <c r="DK9" s="494"/>
      <c r="DL9" s="494"/>
      <c r="DM9" s="494"/>
      <c r="DN9" s="494"/>
      <c r="DO9" s="494"/>
      <c r="DP9" s="494"/>
      <c r="DQ9" s="494"/>
      <c r="DR9" s="494"/>
      <c r="DS9" s="494"/>
      <c r="DT9" s="494"/>
      <c r="DU9" s="494"/>
      <c r="DV9" s="494"/>
      <c r="DW9" s="494"/>
      <c r="DX9" s="494"/>
      <c r="DY9" s="494"/>
      <c r="DZ9" s="494"/>
      <c r="EA9" s="494"/>
      <c r="EB9" s="494"/>
      <c r="EC9" s="494"/>
      <c r="ED9" s="494"/>
      <c r="EE9" s="494"/>
      <c r="EF9" s="494"/>
      <c r="EG9" s="494"/>
      <c r="EH9" s="494"/>
      <c r="EI9" s="494"/>
      <c r="EJ9" s="494"/>
      <c r="EK9" s="494"/>
      <c r="EL9" s="494"/>
      <c r="EM9" s="494"/>
      <c r="EN9" s="494"/>
      <c r="EO9" s="494"/>
      <c r="EP9" s="494"/>
      <c r="EQ9" s="494"/>
      <c r="ER9" s="494"/>
      <c r="ES9" s="494"/>
      <c r="ET9" s="494"/>
      <c r="EU9" s="494"/>
      <c r="EV9" s="494"/>
      <c r="EW9" s="494"/>
      <c r="EX9" s="494"/>
      <c r="EY9" s="494"/>
      <c r="EZ9" s="494"/>
      <c r="FA9" s="494"/>
      <c r="FB9" s="494"/>
      <c r="FC9" s="494"/>
      <c r="FD9" s="494"/>
      <c r="FE9" s="494"/>
      <c r="FF9" s="494"/>
      <c r="FG9" s="494"/>
      <c r="FH9" s="494"/>
      <c r="FI9" s="494"/>
      <c r="FJ9" s="494"/>
      <c r="FK9" s="494"/>
      <c r="FL9" s="494"/>
      <c r="FM9" s="494"/>
      <c r="FN9" s="494"/>
      <c r="FO9" s="494"/>
      <c r="FP9" s="494"/>
      <c r="FQ9" s="494"/>
      <c r="FR9" s="494"/>
      <c r="FS9" s="494"/>
      <c r="FT9" s="494"/>
      <c r="FU9" s="494"/>
      <c r="FV9" s="494"/>
      <c r="FW9" s="494"/>
      <c r="FX9" s="494"/>
      <c r="FY9" s="494"/>
      <c r="FZ9" s="494"/>
      <c r="GA9" s="494"/>
      <c r="GB9" s="494"/>
      <c r="GC9" s="494"/>
      <c r="GD9" s="494"/>
    </row>
    <row r="10" spans="1:186" s="101" customFormat="1" ht="18" customHeight="1" thickBot="1">
      <c r="A10" s="107" t="s">
        <v>25</v>
      </c>
      <c r="B10" s="97"/>
      <c r="C10" s="99"/>
      <c r="D10" s="383"/>
      <c r="E10" s="109" t="s">
        <v>26</v>
      </c>
      <c r="F10" s="657"/>
      <c r="G10" s="674" t="s">
        <v>27</v>
      </c>
      <c r="H10" s="675"/>
      <c r="I10" s="668"/>
      <c r="J10" s="669"/>
      <c r="K10" s="111" t="s">
        <v>28</v>
      </c>
      <c r="L10" s="112"/>
      <c r="M10" s="672"/>
      <c r="N10" s="673"/>
      <c r="O10" s="494"/>
      <c r="P10" s="505" t="s">
        <v>256</v>
      </c>
      <c r="Q10" s="507">
        <v>1</v>
      </c>
      <c r="R10" s="494"/>
      <c r="S10" s="508" t="s">
        <v>39</v>
      </c>
      <c r="T10" s="506"/>
      <c r="U10" s="494"/>
      <c r="V10" s="494"/>
      <c r="W10" s="494"/>
      <c r="X10" s="494"/>
      <c r="Y10" s="494"/>
      <c r="Z10" s="494"/>
      <c r="AA10" s="494"/>
      <c r="AB10" s="494"/>
      <c r="AC10" s="494"/>
      <c r="AD10" s="494"/>
      <c r="AE10" s="494"/>
      <c r="AF10" s="494"/>
      <c r="AG10" s="494"/>
      <c r="AH10" s="494"/>
      <c r="AI10" s="494"/>
      <c r="AJ10" s="494"/>
      <c r="AK10" s="494"/>
      <c r="AL10" s="495"/>
      <c r="AM10" s="495"/>
      <c r="AN10" s="495"/>
      <c r="AO10" s="496"/>
      <c r="AP10" s="495"/>
      <c r="AQ10" s="494"/>
      <c r="AR10" s="494"/>
      <c r="AS10" s="494"/>
      <c r="AT10" s="494"/>
      <c r="AU10" s="494"/>
      <c r="AV10" s="494"/>
      <c r="AW10" s="494"/>
      <c r="AX10" s="494"/>
      <c r="AY10" s="494"/>
      <c r="AZ10" s="494"/>
      <c r="BA10" s="494"/>
      <c r="BB10" s="494"/>
      <c r="BC10" s="494"/>
      <c r="BD10" s="494"/>
      <c r="BE10" s="494"/>
      <c r="BF10" s="494"/>
      <c r="BG10" s="494"/>
      <c r="BH10" s="494"/>
      <c r="BI10" s="494"/>
      <c r="BJ10" s="494"/>
      <c r="BK10" s="494"/>
      <c r="BL10" s="494"/>
      <c r="BM10" s="494"/>
      <c r="BN10" s="494"/>
      <c r="BO10" s="494"/>
      <c r="BP10" s="494"/>
      <c r="BQ10" s="494"/>
      <c r="BR10" s="494"/>
      <c r="BS10" s="494"/>
      <c r="BT10" s="494"/>
      <c r="BU10" s="494"/>
      <c r="BV10" s="494"/>
      <c r="BW10" s="494"/>
      <c r="BX10" s="494"/>
      <c r="BY10" s="494"/>
      <c r="BZ10" s="494"/>
      <c r="CA10" s="494"/>
      <c r="CB10" s="494"/>
      <c r="CC10" s="494"/>
      <c r="CD10" s="494"/>
      <c r="CE10" s="494"/>
      <c r="CF10" s="494"/>
      <c r="CG10" s="494"/>
      <c r="CH10" s="494"/>
      <c r="CI10" s="494"/>
      <c r="CJ10" s="494"/>
      <c r="CK10" s="494"/>
      <c r="CL10" s="494"/>
      <c r="CM10" s="494"/>
      <c r="CN10" s="494"/>
      <c r="CO10" s="494"/>
      <c r="CP10" s="494"/>
      <c r="CQ10" s="494"/>
      <c r="CR10" s="494"/>
      <c r="CS10" s="494"/>
      <c r="CT10" s="494"/>
      <c r="CU10" s="494"/>
      <c r="CV10" s="494"/>
      <c r="CW10" s="494"/>
      <c r="CX10" s="494"/>
      <c r="CY10" s="494"/>
      <c r="CZ10" s="494"/>
      <c r="DA10" s="494"/>
      <c r="DB10" s="494"/>
      <c r="DC10" s="494"/>
      <c r="DD10" s="494"/>
      <c r="DE10" s="494"/>
      <c r="DF10" s="494"/>
      <c r="DG10" s="494"/>
      <c r="DH10" s="494"/>
      <c r="DI10" s="494"/>
      <c r="DJ10" s="494"/>
      <c r="DK10" s="494"/>
      <c r="DL10" s="494"/>
      <c r="DM10" s="494"/>
      <c r="DN10" s="494"/>
      <c r="DO10" s="494"/>
      <c r="DP10" s="494"/>
      <c r="DQ10" s="494"/>
      <c r="DR10" s="494"/>
      <c r="DS10" s="494"/>
      <c r="DT10" s="494"/>
      <c r="DU10" s="494"/>
      <c r="DV10" s="494"/>
      <c r="DW10" s="494"/>
      <c r="DX10" s="494"/>
      <c r="DY10" s="494"/>
      <c r="DZ10" s="494"/>
      <c r="EA10" s="494"/>
      <c r="EB10" s="494"/>
      <c r="EC10" s="494"/>
      <c r="ED10" s="494"/>
      <c r="EE10" s="494"/>
      <c r="EF10" s="494"/>
      <c r="EG10" s="494"/>
      <c r="EH10" s="494"/>
      <c r="EI10" s="494"/>
      <c r="EJ10" s="494"/>
      <c r="EK10" s="494"/>
      <c r="EL10" s="494"/>
      <c r="EM10" s="494"/>
      <c r="EN10" s="494"/>
      <c r="EO10" s="494"/>
      <c r="EP10" s="494"/>
      <c r="EQ10" s="494"/>
      <c r="ER10" s="494"/>
      <c r="ES10" s="494"/>
      <c r="ET10" s="494"/>
      <c r="EU10" s="494"/>
      <c r="EV10" s="494"/>
      <c r="EW10" s="494"/>
      <c r="EX10" s="494"/>
      <c r="EY10" s="494"/>
      <c r="EZ10" s="494"/>
      <c r="FA10" s="494"/>
      <c r="FB10" s="494"/>
      <c r="FC10" s="494"/>
      <c r="FD10" s="494"/>
      <c r="FE10" s="494"/>
      <c r="FF10" s="494"/>
      <c r="FG10" s="494"/>
      <c r="FH10" s="494"/>
      <c r="FI10" s="494"/>
      <c r="FJ10" s="494"/>
      <c r="FK10" s="494"/>
      <c r="FL10" s="494"/>
      <c r="FM10" s="494"/>
      <c r="FN10" s="494"/>
      <c r="FO10" s="494"/>
      <c r="FP10" s="494"/>
      <c r="FQ10" s="494"/>
      <c r="FR10" s="494"/>
      <c r="FS10" s="494"/>
      <c r="FT10" s="494"/>
      <c r="FU10" s="494"/>
      <c r="FV10" s="494"/>
      <c r="FW10" s="494"/>
      <c r="FX10" s="494"/>
      <c r="FY10" s="494"/>
      <c r="FZ10" s="494"/>
      <c r="GA10" s="494"/>
      <c r="GB10" s="494"/>
      <c r="GC10" s="494"/>
      <c r="GD10" s="494"/>
    </row>
    <row r="11" spans="1:186" s="101" customFormat="1" ht="18" customHeight="1">
      <c r="A11" s="113" t="s">
        <v>29</v>
      </c>
      <c r="B11" s="114"/>
      <c r="C11" s="640" t="str">
        <f>IF($Q$10=1,P11,IF($Q$10=2,Q11,""))</f>
        <v>1,50 kW</v>
      </c>
      <c r="D11" s="641"/>
      <c r="E11" s="115" t="s">
        <v>30</v>
      </c>
      <c r="F11" s="116"/>
      <c r="G11" s="642" t="s">
        <v>249</v>
      </c>
      <c r="H11" s="117" t="s">
        <v>31</v>
      </c>
      <c r="I11" s="99"/>
      <c r="J11" s="118" t="s">
        <v>32</v>
      </c>
      <c r="K11" s="119" t="s">
        <v>33</v>
      </c>
      <c r="L11" s="107" t="s">
        <v>34</v>
      </c>
      <c r="M11" s="96"/>
      <c r="N11" s="644" t="s">
        <v>248</v>
      </c>
      <c r="O11" s="494"/>
      <c r="P11" s="509" t="s">
        <v>257</v>
      </c>
      <c r="Q11" s="509" t="s">
        <v>258</v>
      </c>
      <c r="R11" s="494"/>
      <c r="S11" s="506"/>
      <c r="T11" s="506"/>
      <c r="U11" s="494"/>
      <c r="V11" s="494"/>
      <c r="W11" s="494"/>
      <c r="X11" s="494"/>
      <c r="Y11" s="494"/>
      <c r="Z11" s="494"/>
      <c r="AA11" s="494"/>
      <c r="AB11" s="494"/>
      <c r="AC11" s="494"/>
      <c r="AD11" s="494"/>
      <c r="AE11" s="494"/>
      <c r="AF11" s="494"/>
      <c r="AG11" s="494"/>
      <c r="AH11" s="494"/>
      <c r="AI11" s="494"/>
      <c r="AJ11" s="494"/>
      <c r="AK11" s="494"/>
      <c r="AL11" s="495"/>
      <c r="AM11" s="495"/>
      <c r="AN11" s="496"/>
      <c r="AO11" s="495"/>
      <c r="AP11" s="494"/>
      <c r="AQ11" s="494"/>
      <c r="AR11" s="494"/>
      <c r="AS11" s="494"/>
      <c r="AT11" s="494"/>
      <c r="AU11" s="494"/>
      <c r="AV11" s="494"/>
      <c r="AW11" s="494"/>
      <c r="AX11" s="494"/>
      <c r="AY11" s="494"/>
      <c r="AZ11" s="494"/>
      <c r="BA11" s="494"/>
      <c r="BB11" s="494"/>
      <c r="BC11" s="494"/>
      <c r="BD11" s="494"/>
      <c r="BE11" s="494"/>
      <c r="BF11" s="494"/>
      <c r="BG11" s="494"/>
      <c r="BH11" s="494"/>
      <c r="BI11" s="494"/>
      <c r="BJ11" s="494"/>
      <c r="BK11" s="494"/>
      <c r="BL11" s="494"/>
      <c r="BM11" s="494"/>
      <c r="BN11" s="494"/>
      <c r="BO11" s="494"/>
      <c r="BP11" s="494"/>
      <c r="BQ11" s="494"/>
      <c r="BR11" s="494"/>
      <c r="BS11" s="494"/>
      <c r="BT11" s="494"/>
      <c r="BU11" s="494"/>
      <c r="BV11" s="494"/>
      <c r="BW11" s="494"/>
      <c r="BX11" s="494"/>
      <c r="BY11" s="494"/>
      <c r="BZ11" s="494"/>
      <c r="CA11" s="494"/>
      <c r="CB11" s="494"/>
      <c r="CC11" s="494"/>
      <c r="CD11" s="494"/>
      <c r="CE11" s="494"/>
      <c r="CF11" s="494"/>
      <c r="CG11" s="494"/>
      <c r="CH11" s="494"/>
      <c r="CI11" s="494"/>
      <c r="CJ11" s="494"/>
      <c r="CK11" s="494"/>
      <c r="CL11" s="494"/>
      <c r="CM11" s="494"/>
      <c r="CN11" s="494"/>
      <c r="CO11" s="494"/>
      <c r="CP11" s="494"/>
      <c r="CQ11" s="494"/>
      <c r="CR11" s="494"/>
      <c r="CS11" s="494"/>
      <c r="CT11" s="494"/>
      <c r="CU11" s="494"/>
      <c r="CV11" s="494"/>
      <c r="CW11" s="494"/>
      <c r="CX11" s="494"/>
      <c r="CY11" s="494"/>
      <c r="CZ11" s="494"/>
      <c r="DA11" s="494"/>
      <c r="DB11" s="494"/>
      <c r="DC11" s="494"/>
      <c r="DD11" s="494"/>
      <c r="DE11" s="494"/>
      <c r="DF11" s="494"/>
      <c r="DG11" s="494"/>
      <c r="DH11" s="494"/>
      <c r="DI11" s="494"/>
      <c r="DJ11" s="494"/>
      <c r="DK11" s="494"/>
      <c r="DL11" s="494"/>
      <c r="DM11" s="494"/>
      <c r="DN11" s="494"/>
      <c r="DO11" s="494"/>
      <c r="DP11" s="494"/>
      <c r="DQ11" s="494"/>
      <c r="DR11" s="494"/>
      <c r="DS11" s="494"/>
      <c r="DT11" s="494"/>
      <c r="DU11" s="494"/>
      <c r="DV11" s="494"/>
      <c r="DW11" s="494"/>
      <c r="DX11" s="494"/>
      <c r="DY11" s="494"/>
      <c r="DZ11" s="494"/>
      <c r="EA11" s="494"/>
      <c r="EB11" s="494"/>
      <c r="EC11" s="494"/>
      <c r="ED11" s="494"/>
      <c r="EE11" s="494"/>
      <c r="EF11" s="494"/>
      <c r="EG11" s="494"/>
      <c r="EH11" s="494"/>
      <c r="EI11" s="494"/>
      <c r="EJ11" s="494"/>
      <c r="EK11" s="494"/>
      <c r="EL11" s="494"/>
      <c r="EM11" s="494"/>
      <c r="EN11" s="494"/>
      <c r="EO11" s="494"/>
      <c r="EP11" s="494"/>
      <c r="EQ11" s="494"/>
      <c r="ER11" s="494"/>
      <c r="ES11" s="494"/>
      <c r="ET11" s="494"/>
      <c r="EU11" s="494"/>
      <c r="EV11" s="494"/>
      <c r="EW11" s="494"/>
      <c r="EX11" s="494"/>
      <c r="EY11" s="494"/>
      <c r="EZ11" s="494"/>
      <c r="FA11" s="494"/>
      <c r="FB11" s="494"/>
      <c r="FC11" s="494"/>
      <c r="FD11" s="494"/>
      <c r="FE11" s="494"/>
      <c r="FF11" s="494"/>
      <c r="FG11" s="494"/>
      <c r="FH11" s="494"/>
      <c r="FI11" s="494"/>
      <c r="FJ11" s="494"/>
      <c r="FK11" s="494"/>
      <c r="FL11" s="494"/>
      <c r="FM11" s="494"/>
      <c r="FN11" s="494"/>
      <c r="FO11" s="494"/>
      <c r="FP11" s="494"/>
      <c r="FQ11" s="494"/>
      <c r="FR11" s="494"/>
      <c r="FS11" s="494"/>
      <c r="FT11" s="494"/>
      <c r="FU11" s="494"/>
      <c r="FV11" s="494"/>
      <c r="FW11" s="494"/>
      <c r="FX11" s="494"/>
      <c r="FY11" s="494"/>
      <c r="FZ11" s="494"/>
      <c r="GA11" s="494"/>
      <c r="GB11" s="494"/>
      <c r="GC11" s="494"/>
      <c r="GD11" s="494"/>
    </row>
    <row r="12" spans="1:186" s="101" customFormat="1" ht="18" customHeight="1" thickBot="1">
      <c r="A12" s="113" t="s">
        <v>36</v>
      </c>
      <c r="B12" s="114"/>
      <c r="C12" s="640" t="str">
        <f>IF($Q$10=1,P12,IF($Q$10=2,Q12,""))</f>
        <v>3.1A</v>
      </c>
      <c r="D12" s="641"/>
      <c r="E12" s="120" t="s">
        <v>37</v>
      </c>
      <c r="F12" s="121"/>
      <c r="G12" s="643"/>
      <c r="H12" s="122" t="s">
        <v>38</v>
      </c>
      <c r="I12" s="110"/>
      <c r="J12" s="121" t="s">
        <v>39</v>
      </c>
      <c r="K12" s="123" t="s">
        <v>40</v>
      </c>
      <c r="L12" s="124" t="s">
        <v>41</v>
      </c>
      <c r="M12" s="106"/>
      <c r="N12" s="645"/>
      <c r="O12" s="494"/>
      <c r="P12" s="509" t="s">
        <v>259</v>
      </c>
      <c r="Q12" s="509" t="s">
        <v>260</v>
      </c>
      <c r="R12" s="494"/>
      <c r="S12" s="506"/>
      <c r="T12" s="506"/>
      <c r="U12" s="494"/>
      <c r="V12" s="494"/>
      <c r="W12" s="494"/>
      <c r="X12" s="494"/>
      <c r="Y12" s="494"/>
      <c r="Z12" s="494"/>
      <c r="AA12" s="494"/>
      <c r="AB12" s="494"/>
      <c r="AC12" s="494"/>
      <c r="AD12" s="494"/>
      <c r="AE12" s="494"/>
      <c r="AF12" s="494"/>
      <c r="AG12" s="494"/>
      <c r="AH12" s="494"/>
      <c r="AI12" s="494"/>
      <c r="AJ12" s="494"/>
      <c r="AK12" s="494"/>
      <c r="AL12" s="495"/>
      <c r="AM12" s="495"/>
      <c r="AN12" s="496"/>
      <c r="AO12" s="495"/>
      <c r="AP12" s="494"/>
      <c r="AQ12" s="494"/>
      <c r="AR12" s="494"/>
      <c r="AS12" s="494"/>
      <c r="AT12" s="494"/>
      <c r="AU12" s="494"/>
      <c r="AV12" s="494"/>
      <c r="AW12" s="494"/>
      <c r="AX12" s="494"/>
      <c r="AY12" s="494"/>
      <c r="AZ12" s="494"/>
      <c r="BA12" s="494"/>
      <c r="BB12" s="494"/>
      <c r="BC12" s="494"/>
      <c r="BD12" s="494"/>
      <c r="BE12" s="494"/>
      <c r="BF12" s="494"/>
      <c r="BG12" s="494"/>
      <c r="BH12" s="494"/>
      <c r="BI12" s="494"/>
      <c r="BJ12" s="494"/>
      <c r="BK12" s="494"/>
      <c r="BL12" s="494"/>
      <c r="BM12" s="494"/>
      <c r="BN12" s="494"/>
      <c r="BO12" s="494"/>
      <c r="BP12" s="494"/>
      <c r="BQ12" s="494"/>
      <c r="BR12" s="494"/>
      <c r="BS12" s="494"/>
      <c r="BT12" s="494"/>
      <c r="BU12" s="494"/>
      <c r="BV12" s="494"/>
      <c r="BW12" s="494"/>
      <c r="BX12" s="494"/>
      <c r="BY12" s="494"/>
      <c r="BZ12" s="494"/>
      <c r="CA12" s="494"/>
      <c r="CB12" s="494"/>
      <c r="CC12" s="494"/>
      <c r="CD12" s="494"/>
      <c r="CE12" s="494"/>
      <c r="CF12" s="494"/>
      <c r="CG12" s="494"/>
      <c r="CH12" s="494"/>
      <c r="CI12" s="494"/>
      <c r="CJ12" s="494"/>
      <c r="CK12" s="494"/>
      <c r="CL12" s="494"/>
      <c r="CM12" s="494"/>
      <c r="CN12" s="494"/>
      <c r="CO12" s="494"/>
      <c r="CP12" s="494"/>
      <c r="CQ12" s="494"/>
      <c r="CR12" s="494"/>
      <c r="CS12" s="494"/>
      <c r="CT12" s="494"/>
      <c r="CU12" s="494"/>
      <c r="CV12" s="494"/>
      <c r="CW12" s="494"/>
      <c r="CX12" s="494"/>
      <c r="CY12" s="494"/>
      <c r="CZ12" s="494"/>
      <c r="DA12" s="494"/>
      <c r="DB12" s="494"/>
      <c r="DC12" s="494"/>
      <c r="DD12" s="494"/>
      <c r="DE12" s="494"/>
      <c r="DF12" s="494"/>
      <c r="DG12" s="494"/>
      <c r="DH12" s="494"/>
      <c r="DI12" s="494"/>
      <c r="DJ12" s="494"/>
      <c r="DK12" s="494"/>
      <c r="DL12" s="494"/>
      <c r="DM12" s="494"/>
      <c r="DN12" s="494"/>
      <c r="DO12" s="494"/>
      <c r="DP12" s="494"/>
      <c r="DQ12" s="494"/>
      <c r="DR12" s="494"/>
      <c r="DS12" s="494"/>
      <c r="DT12" s="494"/>
      <c r="DU12" s="494"/>
      <c r="DV12" s="494"/>
      <c r="DW12" s="494"/>
      <c r="DX12" s="494"/>
      <c r="DY12" s="494"/>
      <c r="DZ12" s="494"/>
      <c r="EA12" s="494"/>
      <c r="EB12" s="494"/>
      <c r="EC12" s="494"/>
      <c r="ED12" s="494"/>
      <c r="EE12" s="494"/>
      <c r="EF12" s="494"/>
      <c r="EG12" s="494"/>
      <c r="EH12" s="494"/>
      <c r="EI12" s="494"/>
      <c r="EJ12" s="494"/>
      <c r="EK12" s="494"/>
      <c r="EL12" s="494"/>
      <c r="EM12" s="494"/>
      <c r="EN12" s="494"/>
      <c r="EO12" s="494"/>
      <c r="EP12" s="494"/>
      <c r="EQ12" s="494"/>
      <c r="ER12" s="494"/>
      <c r="ES12" s="494"/>
      <c r="ET12" s="494"/>
      <c r="EU12" s="494"/>
      <c r="EV12" s="494"/>
      <c r="EW12" s="494"/>
      <c r="EX12" s="494"/>
      <c r="EY12" s="494"/>
      <c r="EZ12" s="494"/>
      <c r="FA12" s="494"/>
      <c r="FB12" s="494"/>
      <c r="FC12" s="494"/>
      <c r="FD12" s="494"/>
      <c r="FE12" s="494"/>
      <c r="FF12" s="494"/>
      <c r="FG12" s="494"/>
      <c r="FH12" s="494"/>
      <c r="FI12" s="494"/>
      <c r="FJ12" s="494"/>
      <c r="FK12" s="494"/>
      <c r="FL12" s="494"/>
      <c r="FM12" s="494"/>
      <c r="FN12" s="494"/>
      <c r="FO12" s="494"/>
      <c r="FP12" s="494"/>
      <c r="FQ12" s="494"/>
      <c r="FR12" s="494"/>
      <c r="FS12" s="494"/>
      <c r="FT12" s="494"/>
      <c r="FU12" s="494"/>
      <c r="FV12" s="494"/>
      <c r="FW12" s="494"/>
      <c r="FX12" s="494"/>
      <c r="FY12" s="494"/>
      <c r="FZ12" s="494"/>
      <c r="GA12" s="494"/>
      <c r="GB12" s="494"/>
      <c r="GC12" s="494"/>
      <c r="GD12" s="494"/>
    </row>
    <row r="13" spans="1:186" s="101" customFormat="1" ht="18" customHeight="1">
      <c r="A13" s="113" t="s">
        <v>42</v>
      </c>
      <c r="B13" s="114"/>
      <c r="C13" s="640" t="str">
        <f>IF($Q$10=1,P13,IF($Q$10=2,Q13,""))</f>
        <v>2850 rpm</v>
      </c>
      <c r="D13" s="641"/>
      <c r="E13" s="125" t="s">
        <v>43</v>
      </c>
      <c r="F13" s="112"/>
      <c r="G13" s="646" t="s">
        <v>250</v>
      </c>
      <c r="H13" s="647"/>
      <c r="I13" s="126" t="s">
        <v>44</v>
      </c>
      <c r="J13" s="127"/>
      <c r="K13" s="127"/>
      <c r="L13" s="650">
        <v>6500</v>
      </c>
      <c r="M13" s="650"/>
      <c r="N13" s="651"/>
      <c r="O13" s="494"/>
      <c r="P13" s="506" t="s">
        <v>261</v>
      </c>
      <c r="Q13" s="506" t="s">
        <v>262</v>
      </c>
      <c r="R13" s="494"/>
      <c r="S13" s="506"/>
      <c r="T13" s="506"/>
      <c r="U13" s="494"/>
      <c r="V13" s="494"/>
      <c r="W13" s="494"/>
      <c r="X13" s="494"/>
      <c r="Y13" s="494"/>
      <c r="Z13" s="494"/>
      <c r="AA13" s="494"/>
      <c r="AB13" s="494"/>
      <c r="AC13" s="494"/>
      <c r="AD13" s="494"/>
      <c r="AE13" s="494"/>
      <c r="AF13" s="494"/>
      <c r="AG13" s="494"/>
      <c r="AH13" s="494"/>
      <c r="AI13" s="494"/>
      <c r="AJ13" s="494"/>
      <c r="AK13" s="494"/>
      <c r="AL13" s="495"/>
      <c r="AM13" s="495"/>
      <c r="AN13" s="496"/>
      <c r="AO13" s="495"/>
      <c r="AP13" s="494"/>
      <c r="AQ13" s="494"/>
      <c r="AR13" s="494"/>
      <c r="AS13" s="494"/>
      <c r="AT13" s="494"/>
      <c r="AU13" s="494"/>
      <c r="AV13" s="494"/>
      <c r="AW13" s="494"/>
      <c r="AX13" s="494"/>
      <c r="AY13" s="494"/>
      <c r="AZ13" s="494"/>
      <c r="BA13" s="494"/>
      <c r="BB13" s="494"/>
      <c r="BC13" s="494"/>
      <c r="BD13" s="494"/>
      <c r="BE13" s="494"/>
      <c r="BF13" s="494"/>
      <c r="BG13" s="494"/>
      <c r="BH13" s="494"/>
      <c r="BI13" s="494"/>
      <c r="BJ13" s="494"/>
      <c r="BK13" s="494"/>
      <c r="BL13" s="494"/>
      <c r="BM13" s="494"/>
      <c r="BN13" s="494"/>
      <c r="BO13" s="494"/>
      <c r="BP13" s="494"/>
      <c r="BQ13" s="494"/>
      <c r="BR13" s="494"/>
      <c r="BS13" s="494"/>
      <c r="BT13" s="494"/>
      <c r="BU13" s="494"/>
      <c r="BV13" s="494"/>
      <c r="BW13" s="494"/>
      <c r="BX13" s="494"/>
      <c r="BY13" s="494"/>
      <c r="BZ13" s="494"/>
      <c r="CA13" s="494"/>
      <c r="CB13" s="494"/>
      <c r="CC13" s="494"/>
      <c r="CD13" s="494"/>
      <c r="CE13" s="494"/>
      <c r="CF13" s="494"/>
      <c r="CG13" s="494"/>
      <c r="CH13" s="494"/>
      <c r="CI13" s="494"/>
      <c r="CJ13" s="494"/>
      <c r="CK13" s="494"/>
      <c r="CL13" s="494"/>
      <c r="CM13" s="494"/>
      <c r="CN13" s="494"/>
      <c r="CO13" s="494"/>
      <c r="CP13" s="494"/>
      <c r="CQ13" s="494"/>
      <c r="CR13" s="494"/>
      <c r="CS13" s="494"/>
      <c r="CT13" s="494"/>
      <c r="CU13" s="494"/>
      <c r="CV13" s="494"/>
      <c r="CW13" s="494"/>
      <c r="CX13" s="494"/>
      <c r="CY13" s="494"/>
      <c r="CZ13" s="494"/>
      <c r="DA13" s="494"/>
      <c r="DB13" s="494"/>
      <c r="DC13" s="494"/>
      <c r="DD13" s="494"/>
      <c r="DE13" s="494"/>
      <c r="DF13" s="494"/>
      <c r="DG13" s="494"/>
      <c r="DH13" s="494"/>
      <c r="DI13" s="494"/>
      <c r="DJ13" s="494"/>
      <c r="DK13" s="494"/>
      <c r="DL13" s="494"/>
      <c r="DM13" s="494"/>
      <c r="DN13" s="494"/>
      <c r="DO13" s="494"/>
      <c r="DP13" s="494"/>
      <c r="DQ13" s="494"/>
      <c r="DR13" s="494"/>
      <c r="DS13" s="494"/>
      <c r="DT13" s="494"/>
      <c r="DU13" s="494"/>
      <c r="DV13" s="494"/>
      <c r="DW13" s="494"/>
      <c r="DX13" s="494"/>
      <c r="DY13" s="494"/>
      <c r="DZ13" s="494"/>
      <c r="EA13" s="494"/>
      <c r="EB13" s="494"/>
      <c r="EC13" s="494"/>
      <c r="ED13" s="494"/>
      <c r="EE13" s="494"/>
      <c r="EF13" s="494"/>
      <c r="EG13" s="494"/>
      <c r="EH13" s="494"/>
      <c r="EI13" s="494"/>
      <c r="EJ13" s="494"/>
      <c r="EK13" s="494"/>
      <c r="EL13" s="494"/>
      <c r="EM13" s="494"/>
      <c r="EN13" s="494"/>
      <c r="EO13" s="494"/>
      <c r="EP13" s="494"/>
      <c r="EQ13" s="494"/>
      <c r="ER13" s="494"/>
      <c r="ES13" s="494"/>
      <c r="ET13" s="494"/>
      <c r="EU13" s="494"/>
      <c r="EV13" s="494"/>
      <c r="EW13" s="494"/>
      <c r="EX13" s="494"/>
      <c r="EY13" s="494"/>
      <c r="EZ13" s="494"/>
      <c r="FA13" s="494"/>
      <c r="FB13" s="494"/>
      <c r="FC13" s="494"/>
      <c r="FD13" s="494"/>
      <c r="FE13" s="494"/>
      <c r="FF13" s="494"/>
      <c r="FG13" s="494"/>
      <c r="FH13" s="494"/>
      <c r="FI13" s="494"/>
      <c r="FJ13" s="494"/>
      <c r="FK13" s="494"/>
      <c r="FL13" s="494"/>
      <c r="FM13" s="494"/>
      <c r="FN13" s="494"/>
      <c r="FO13" s="494"/>
      <c r="FP13" s="494"/>
      <c r="FQ13" s="494"/>
      <c r="FR13" s="494"/>
      <c r="FS13" s="494"/>
      <c r="FT13" s="494"/>
      <c r="FU13" s="494"/>
      <c r="FV13" s="494"/>
      <c r="FW13" s="494"/>
      <c r="FX13" s="494"/>
      <c r="FY13" s="494"/>
      <c r="FZ13" s="494"/>
      <c r="GA13" s="494"/>
      <c r="GB13" s="494"/>
      <c r="GC13" s="494"/>
      <c r="GD13" s="494"/>
    </row>
    <row r="14" spans="1:186" s="101" customFormat="1" ht="18" customHeight="1" thickBot="1">
      <c r="A14" s="113" t="s">
        <v>45</v>
      </c>
      <c r="C14" s="640" t="str">
        <f>IF($Q$10=1,P14,IF($Q$10=2,Q14,""))</f>
        <v xml:space="preserve">2170 m3/h </v>
      </c>
      <c r="D14" s="641"/>
      <c r="E14" s="128" t="s">
        <v>46</v>
      </c>
      <c r="F14" s="129"/>
      <c r="G14" s="648"/>
      <c r="H14" s="649"/>
      <c r="I14" s="130" t="s">
        <v>47</v>
      </c>
      <c r="J14" s="129"/>
      <c r="K14" s="129"/>
      <c r="L14" s="652"/>
      <c r="M14" s="652"/>
      <c r="N14" s="653"/>
      <c r="O14" s="494"/>
      <c r="P14" s="506" t="s">
        <v>263</v>
      </c>
      <c r="Q14" s="506" t="s">
        <v>263</v>
      </c>
      <c r="R14" s="494"/>
      <c r="S14" s="506"/>
      <c r="T14" s="506"/>
      <c r="U14" s="494"/>
      <c r="V14" s="494"/>
      <c r="W14" s="494"/>
      <c r="X14" s="494"/>
      <c r="Y14" s="494"/>
      <c r="Z14" s="494"/>
      <c r="AA14" s="494"/>
      <c r="AB14" s="494"/>
      <c r="AC14" s="494"/>
      <c r="AD14" s="494"/>
      <c r="AE14" s="494"/>
      <c r="AF14" s="494"/>
      <c r="AG14" s="494"/>
      <c r="AH14" s="494"/>
      <c r="AI14" s="494"/>
      <c r="AJ14" s="494"/>
      <c r="AK14" s="494"/>
      <c r="AL14" s="495"/>
      <c r="AM14" s="495"/>
      <c r="AN14" s="496"/>
      <c r="AO14" s="495"/>
      <c r="AP14" s="494"/>
      <c r="AQ14" s="494"/>
      <c r="AR14" s="494"/>
      <c r="AS14" s="494"/>
      <c r="AT14" s="494"/>
      <c r="AU14" s="494"/>
      <c r="AV14" s="494"/>
      <c r="AW14" s="494"/>
      <c r="AX14" s="494"/>
      <c r="AY14" s="494"/>
      <c r="AZ14" s="494"/>
      <c r="BA14" s="494"/>
      <c r="BB14" s="494"/>
      <c r="BC14" s="494"/>
      <c r="BD14" s="494"/>
      <c r="BE14" s="494"/>
      <c r="BF14" s="494"/>
      <c r="BG14" s="494"/>
      <c r="BH14" s="494"/>
      <c r="BI14" s="494"/>
      <c r="BJ14" s="494"/>
      <c r="BK14" s="494"/>
      <c r="BL14" s="494"/>
      <c r="BM14" s="494"/>
      <c r="BN14" s="494"/>
      <c r="BO14" s="494"/>
      <c r="BP14" s="494"/>
      <c r="BQ14" s="494"/>
      <c r="BR14" s="494"/>
      <c r="BS14" s="494"/>
      <c r="BT14" s="494"/>
      <c r="BU14" s="494"/>
      <c r="BV14" s="494"/>
      <c r="BW14" s="494"/>
      <c r="BX14" s="494"/>
      <c r="BY14" s="494"/>
      <c r="BZ14" s="494"/>
      <c r="CA14" s="494"/>
      <c r="CB14" s="494"/>
      <c r="CC14" s="494"/>
      <c r="CD14" s="494"/>
      <c r="CE14" s="494"/>
      <c r="CF14" s="494"/>
      <c r="CG14" s="494"/>
      <c r="CH14" s="494"/>
      <c r="CI14" s="494"/>
      <c r="CJ14" s="494"/>
      <c r="CK14" s="494"/>
      <c r="CL14" s="494"/>
      <c r="CM14" s="494"/>
      <c r="CN14" s="494"/>
      <c r="CO14" s="494"/>
      <c r="CP14" s="494"/>
      <c r="CQ14" s="494"/>
      <c r="CR14" s="494"/>
      <c r="CS14" s="494"/>
      <c r="CT14" s="494"/>
      <c r="CU14" s="494"/>
      <c r="CV14" s="494"/>
      <c r="CW14" s="494"/>
      <c r="CX14" s="494"/>
      <c r="CY14" s="494"/>
      <c r="CZ14" s="494"/>
      <c r="DA14" s="494"/>
      <c r="DB14" s="494"/>
      <c r="DC14" s="494"/>
      <c r="DD14" s="494"/>
      <c r="DE14" s="494"/>
      <c r="DF14" s="494"/>
      <c r="DG14" s="494"/>
      <c r="DH14" s="494"/>
      <c r="DI14" s="494"/>
      <c r="DJ14" s="494"/>
      <c r="DK14" s="494"/>
      <c r="DL14" s="494"/>
      <c r="DM14" s="494"/>
      <c r="DN14" s="494"/>
      <c r="DO14" s="494"/>
      <c r="DP14" s="494"/>
      <c r="DQ14" s="494"/>
      <c r="DR14" s="494"/>
      <c r="DS14" s="494"/>
      <c r="DT14" s="494"/>
      <c r="DU14" s="494"/>
      <c r="DV14" s="494"/>
      <c r="DW14" s="494"/>
      <c r="DX14" s="494"/>
      <c r="DY14" s="494"/>
      <c r="DZ14" s="494"/>
      <c r="EA14" s="494"/>
      <c r="EB14" s="494"/>
      <c r="EC14" s="494"/>
      <c r="ED14" s="494"/>
      <c r="EE14" s="494"/>
      <c r="EF14" s="494"/>
      <c r="EG14" s="494"/>
      <c r="EH14" s="494"/>
      <c r="EI14" s="494"/>
      <c r="EJ14" s="494"/>
      <c r="EK14" s="494"/>
      <c r="EL14" s="494"/>
      <c r="EM14" s="494"/>
      <c r="EN14" s="494"/>
      <c r="EO14" s="494"/>
      <c r="EP14" s="494"/>
      <c r="EQ14" s="494"/>
      <c r="ER14" s="494"/>
      <c r="ES14" s="494"/>
      <c r="ET14" s="494"/>
      <c r="EU14" s="494"/>
      <c r="EV14" s="494"/>
      <c r="EW14" s="494"/>
      <c r="EX14" s="494"/>
      <c r="EY14" s="494"/>
      <c r="EZ14" s="494"/>
      <c r="FA14" s="494"/>
      <c r="FB14" s="494"/>
      <c r="FC14" s="494"/>
      <c r="FD14" s="494"/>
      <c r="FE14" s="494"/>
      <c r="FF14" s="494"/>
      <c r="FG14" s="494"/>
      <c r="FH14" s="494"/>
      <c r="FI14" s="494"/>
      <c r="FJ14" s="494"/>
      <c r="FK14" s="494"/>
      <c r="FL14" s="494"/>
      <c r="FM14" s="494"/>
      <c r="FN14" s="494"/>
      <c r="FO14" s="494"/>
      <c r="FP14" s="494"/>
      <c r="FQ14" s="494"/>
      <c r="FR14" s="494"/>
      <c r="FS14" s="494"/>
      <c r="FT14" s="494"/>
      <c r="FU14" s="494"/>
      <c r="FV14" s="494"/>
      <c r="FW14" s="494"/>
      <c r="FX14" s="494"/>
      <c r="FY14" s="494"/>
      <c r="FZ14" s="494"/>
      <c r="GA14" s="494"/>
      <c r="GB14" s="494"/>
      <c r="GC14" s="494"/>
      <c r="GD14" s="494"/>
    </row>
    <row r="15" spans="1:186" s="101" customFormat="1" ht="18" customHeight="1" thickBot="1">
      <c r="A15" s="131" t="s">
        <v>48</v>
      </c>
      <c r="B15" s="110"/>
      <c r="C15" s="654" t="str">
        <f>IF($Q$10=1,P15,IF($Q$10=2,Q15,""))</f>
        <v>1625 Pa</v>
      </c>
      <c r="D15" s="655"/>
      <c r="E15" s="96" t="s">
        <v>49</v>
      </c>
      <c r="F15" s="656" t="s">
        <v>50</v>
      </c>
      <c r="G15" s="107" t="s">
        <v>51</v>
      </c>
      <c r="I15" s="656" t="s">
        <v>52</v>
      </c>
      <c r="J15" s="107" t="s">
        <v>53</v>
      </c>
      <c r="K15" s="658" t="s">
        <v>266</v>
      </c>
      <c r="L15" s="390" t="s">
        <v>54</v>
      </c>
      <c r="M15" s="387"/>
      <c r="N15" s="683" t="s">
        <v>55</v>
      </c>
      <c r="O15" s="494"/>
      <c r="P15" s="506" t="s">
        <v>264</v>
      </c>
      <c r="Q15" s="506" t="s">
        <v>264</v>
      </c>
      <c r="R15" s="494"/>
      <c r="S15" s="506"/>
      <c r="T15" s="506"/>
      <c r="U15" s="494"/>
      <c r="V15" s="494"/>
      <c r="W15" s="494"/>
      <c r="X15" s="494"/>
      <c r="Y15" s="494"/>
      <c r="Z15" s="494"/>
      <c r="AA15" s="494"/>
      <c r="AB15" s="494"/>
      <c r="AC15" s="494"/>
      <c r="AD15" s="494"/>
      <c r="AE15" s="494"/>
      <c r="AF15" s="494"/>
      <c r="AG15" s="494"/>
      <c r="AH15" s="494"/>
      <c r="AI15" s="494"/>
      <c r="AJ15" s="494"/>
      <c r="AK15" s="494"/>
      <c r="AL15" s="495"/>
      <c r="AM15" s="495"/>
      <c r="AN15" s="496"/>
      <c r="AO15" s="495"/>
      <c r="AP15" s="494"/>
      <c r="AQ15" s="494"/>
      <c r="AR15" s="494"/>
      <c r="AS15" s="494"/>
      <c r="AT15" s="494"/>
      <c r="AU15" s="494"/>
      <c r="AV15" s="494"/>
      <c r="AW15" s="494"/>
      <c r="AX15" s="494"/>
      <c r="AY15" s="494"/>
      <c r="AZ15" s="494"/>
      <c r="BA15" s="494"/>
      <c r="BB15" s="494"/>
      <c r="BC15" s="494"/>
      <c r="BD15" s="494"/>
      <c r="BE15" s="494"/>
      <c r="BF15" s="494"/>
      <c r="BG15" s="494"/>
      <c r="BH15" s="494"/>
      <c r="BI15" s="494"/>
      <c r="BJ15" s="494"/>
      <c r="BK15" s="494"/>
      <c r="BL15" s="494"/>
      <c r="BM15" s="494"/>
      <c r="BN15" s="494"/>
      <c r="BO15" s="494"/>
      <c r="BP15" s="494"/>
      <c r="BQ15" s="494"/>
      <c r="BR15" s="494"/>
      <c r="BS15" s="494"/>
      <c r="BT15" s="494"/>
      <c r="BU15" s="494"/>
      <c r="BV15" s="494"/>
      <c r="BW15" s="494"/>
      <c r="BX15" s="494"/>
      <c r="BY15" s="494"/>
      <c r="BZ15" s="494"/>
      <c r="CA15" s="494"/>
      <c r="CB15" s="494"/>
      <c r="CC15" s="494"/>
      <c r="CD15" s="494"/>
      <c r="CE15" s="494"/>
      <c r="CF15" s="494"/>
      <c r="CG15" s="494"/>
      <c r="CH15" s="494"/>
      <c r="CI15" s="494"/>
      <c r="CJ15" s="494"/>
      <c r="CK15" s="494"/>
      <c r="CL15" s="494"/>
      <c r="CM15" s="494"/>
      <c r="CN15" s="494"/>
      <c r="CO15" s="494"/>
      <c r="CP15" s="494"/>
      <c r="CQ15" s="494"/>
      <c r="CR15" s="494"/>
      <c r="CS15" s="494"/>
      <c r="CT15" s="494"/>
      <c r="CU15" s="494"/>
      <c r="CV15" s="494"/>
      <c r="CW15" s="494"/>
      <c r="CX15" s="494"/>
      <c r="CY15" s="494"/>
      <c r="CZ15" s="494"/>
      <c r="DA15" s="494"/>
      <c r="DB15" s="494"/>
      <c r="DC15" s="494"/>
      <c r="DD15" s="494"/>
      <c r="DE15" s="494"/>
      <c r="DF15" s="494"/>
      <c r="DG15" s="494"/>
      <c r="DH15" s="494"/>
      <c r="DI15" s="494"/>
      <c r="DJ15" s="494"/>
      <c r="DK15" s="494"/>
      <c r="DL15" s="494"/>
      <c r="DM15" s="494"/>
      <c r="DN15" s="494"/>
      <c r="DO15" s="494"/>
      <c r="DP15" s="494"/>
      <c r="DQ15" s="494"/>
      <c r="DR15" s="494"/>
      <c r="DS15" s="494"/>
      <c r="DT15" s="494"/>
      <c r="DU15" s="494"/>
      <c r="DV15" s="494"/>
      <c r="DW15" s="494"/>
      <c r="DX15" s="494"/>
      <c r="DY15" s="494"/>
      <c r="DZ15" s="494"/>
      <c r="EA15" s="494"/>
      <c r="EB15" s="494"/>
      <c r="EC15" s="494"/>
      <c r="ED15" s="494"/>
      <c r="EE15" s="494"/>
      <c r="EF15" s="494"/>
      <c r="EG15" s="494"/>
      <c r="EH15" s="494"/>
      <c r="EI15" s="494"/>
      <c r="EJ15" s="494"/>
      <c r="EK15" s="494"/>
      <c r="EL15" s="494"/>
      <c r="EM15" s="494"/>
      <c r="EN15" s="494"/>
      <c r="EO15" s="494"/>
      <c r="EP15" s="494"/>
      <c r="EQ15" s="494"/>
      <c r="ER15" s="494"/>
      <c r="ES15" s="494"/>
      <c r="ET15" s="494"/>
      <c r="EU15" s="494"/>
      <c r="EV15" s="494"/>
      <c r="EW15" s="494"/>
      <c r="EX15" s="494"/>
      <c r="EY15" s="494"/>
      <c r="EZ15" s="494"/>
      <c r="FA15" s="494"/>
      <c r="FB15" s="494"/>
      <c r="FC15" s="494"/>
      <c r="FD15" s="494"/>
      <c r="FE15" s="494"/>
      <c r="FF15" s="494"/>
      <c r="FG15" s="494"/>
      <c r="FH15" s="494"/>
      <c r="FI15" s="494"/>
      <c r="FJ15" s="494"/>
      <c r="FK15" s="494"/>
      <c r="FL15" s="494"/>
      <c r="FM15" s="494"/>
      <c r="FN15" s="494"/>
      <c r="FO15" s="494"/>
      <c r="FP15" s="494"/>
      <c r="FQ15" s="494"/>
      <c r="FR15" s="494"/>
      <c r="FS15" s="494"/>
      <c r="FT15" s="494"/>
      <c r="FU15" s="494"/>
      <c r="FV15" s="494"/>
      <c r="FW15" s="494"/>
      <c r="FX15" s="494"/>
      <c r="FY15" s="494"/>
      <c r="FZ15" s="494"/>
      <c r="GA15" s="494"/>
      <c r="GB15" s="494"/>
      <c r="GC15" s="494"/>
      <c r="GD15" s="494"/>
    </row>
    <row r="16" spans="1:186" s="101" customFormat="1" ht="18" customHeight="1" thickBot="1">
      <c r="A16" s="685" t="s">
        <v>56</v>
      </c>
      <c r="B16" s="686"/>
      <c r="C16" s="686"/>
      <c r="D16" s="687"/>
      <c r="E16" s="132" t="s">
        <v>57</v>
      </c>
      <c r="F16" s="657"/>
      <c r="G16" s="132" t="s">
        <v>58</v>
      </c>
      <c r="I16" s="657"/>
      <c r="J16" s="132" t="s">
        <v>59</v>
      </c>
      <c r="K16" s="659"/>
      <c r="L16" s="391" t="s">
        <v>60</v>
      </c>
      <c r="M16" s="387"/>
      <c r="N16" s="684"/>
      <c r="O16" s="494"/>
      <c r="P16" s="494"/>
      <c r="Q16" s="494"/>
      <c r="R16" s="494"/>
      <c r="S16" s="494"/>
      <c r="T16" s="494"/>
      <c r="U16" s="494"/>
      <c r="V16" s="494"/>
      <c r="W16" s="494"/>
      <c r="X16" s="494"/>
      <c r="Y16" s="494"/>
      <c r="Z16" s="494"/>
      <c r="AA16" s="494"/>
      <c r="AB16" s="494"/>
      <c r="AC16" s="494"/>
      <c r="AD16" s="494"/>
      <c r="AE16" s="494"/>
      <c r="AF16" s="494"/>
      <c r="AG16" s="494"/>
      <c r="AH16" s="494"/>
      <c r="AI16" s="494"/>
      <c r="AJ16" s="494"/>
      <c r="AK16" s="494"/>
      <c r="AL16" s="495"/>
      <c r="AM16" s="495"/>
      <c r="AN16" s="496"/>
      <c r="AO16" s="495"/>
      <c r="AP16" s="494"/>
      <c r="AQ16" s="494"/>
      <c r="AR16" s="494"/>
      <c r="AS16" s="494"/>
      <c r="AT16" s="494"/>
      <c r="AU16" s="494"/>
      <c r="AV16" s="494"/>
      <c r="AW16" s="494"/>
      <c r="AX16" s="494"/>
      <c r="AY16" s="494"/>
      <c r="AZ16" s="494"/>
      <c r="BA16" s="494"/>
      <c r="BB16" s="494"/>
      <c r="BC16" s="494"/>
      <c r="BD16" s="494"/>
      <c r="BE16" s="494"/>
      <c r="BF16" s="494"/>
      <c r="BG16" s="494"/>
      <c r="BH16" s="494"/>
      <c r="BI16" s="494"/>
      <c r="BJ16" s="494"/>
      <c r="BK16" s="494"/>
      <c r="BL16" s="494"/>
      <c r="BM16" s="494"/>
      <c r="BN16" s="494"/>
      <c r="BO16" s="494"/>
      <c r="BP16" s="494"/>
      <c r="BQ16" s="494"/>
      <c r="BR16" s="494"/>
      <c r="BS16" s="494"/>
      <c r="BT16" s="494"/>
      <c r="BU16" s="494"/>
      <c r="BV16" s="494"/>
      <c r="BW16" s="494"/>
      <c r="BX16" s="494"/>
      <c r="BY16" s="494"/>
      <c r="BZ16" s="494"/>
      <c r="CA16" s="494"/>
      <c r="CB16" s="494"/>
      <c r="CC16" s="494"/>
      <c r="CD16" s="494"/>
      <c r="CE16" s="494"/>
      <c r="CF16" s="494"/>
      <c r="CG16" s="494"/>
      <c r="CH16" s="494"/>
      <c r="CI16" s="494"/>
      <c r="CJ16" s="494"/>
      <c r="CK16" s="494"/>
      <c r="CL16" s="494"/>
      <c r="CM16" s="494"/>
      <c r="CN16" s="494"/>
      <c r="CO16" s="494"/>
      <c r="CP16" s="494"/>
      <c r="CQ16" s="494"/>
      <c r="CR16" s="494"/>
      <c r="CS16" s="494"/>
      <c r="CT16" s="494"/>
      <c r="CU16" s="494"/>
      <c r="CV16" s="494"/>
      <c r="CW16" s="494"/>
      <c r="CX16" s="494"/>
      <c r="CY16" s="494"/>
      <c r="CZ16" s="494"/>
      <c r="DA16" s="494"/>
      <c r="DB16" s="494"/>
      <c r="DC16" s="494"/>
      <c r="DD16" s="494"/>
      <c r="DE16" s="494"/>
      <c r="DF16" s="494"/>
      <c r="DG16" s="494"/>
      <c r="DH16" s="494"/>
      <c r="DI16" s="494"/>
      <c r="DJ16" s="494"/>
      <c r="DK16" s="494"/>
      <c r="DL16" s="494"/>
      <c r="DM16" s="494"/>
      <c r="DN16" s="494"/>
      <c r="DO16" s="494"/>
      <c r="DP16" s="494"/>
      <c r="DQ16" s="494"/>
      <c r="DR16" s="494"/>
      <c r="DS16" s="494"/>
      <c r="DT16" s="494"/>
      <c r="DU16" s="494"/>
      <c r="DV16" s="494"/>
      <c r="DW16" s="494"/>
      <c r="DX16" s="494"/>
      <c r="DY16" s="494"/>
      <c r="DZ16" s="494"/>
      <c r="EA16" s="494"/>
      <c r="EB16" s="494"/>
      <c r="EC16" s="494"/>
      <c r="ED16" s="494"/>
      <c r="EE16" s="494"/>
      <c r="EF16" s="494"/>
      <c r="EG16" s="494"/>
      <c r="EH16" s="494"/>
      <c r="EI16" s="494"/>
      <c r="EJ16" s="494"/>
      <c r="EK16" s="494"/>
      <c r="EL16" s="494"/>
      <c r="EM16" s="494"/>
      <c r="EN16" s="494"/>
      <c r="EO16" s="494"/>
      <c r="EP16" s="494"/>
      <c r="EQ16" s="494"/>
      <c r="ER16" s="494"/>
      <c r="ES16" s="494"/>
      <c r="ET16" s="494"/>
      <c r="EU16" s="494"/>
      <c r="EV16" s="494"/>
      <c r="EW16" s="494"/>
      <c r="EX16" s="494"/>
      <c r="EY16" s="494"/>
      <c r="EZ16" s="494"/>
      <c r="FA16" s="494"/>
      <c r="FB16" s="494"/>
      <c r="FC16" s="494"/>
      <c r="FD16" s="494"/>
      <c r="FE16" s="494"/>
      <c r="FF16" s="494"/>
      <c r="FG16" s="494"/>
      <c r="FH16" s="494"/>
      <c r="FI16" s="494"/>
      <c r="FJ16" s="494"/>
      <c r="FK16" s="494"/>
      <c r="FL16" s="494"/>
      <c r="FM16" s="494"/>
      <c r="FN16" s="494"/>
      <c r="FO16" s="494"/>
      <c r="FP16" s="494"/>
      <c r="FQ16" s="494"/>
      <c r="FR16" s="494"/>
      <c r="FS16" s="494"/>
      <c r="FT16" s="494"/>
      <c r="FU16" s="494"/>
      <c r="FV16" s="494"/>
      <c r="FW16" s="494"/>
      <c r="FX16" s="494"/>
      <c r="FY16" s="494"/>
      <c r="FZ16" s="494"/>
      <c r="GA16" s="494"/>
      <c r="GB16" s="494"/>
      <c r="GC16" s="494"/>
      <c r="GD16" s="494"/>
    </row>
    <row r="17" spans="1:186" s="101" customFormat="1" ht="18" customHeight="1">
      <c r="A17" s="685"/>
      <c r="B17" s="686"/>
      <c r="C17" s="686"/>
      <c r="D17" s="687"/>
      <c r="E17" s="107" t="s">
        <v>61</v>
      </c>
      <c r="F17" s="658" t="s">
        <v>62</v>
      </c>
      <c r="G17" s="658"/>
      <c r="H17" s="656"/>
      <c r="I17" s="107" t="s">
        <v>63</v>
      </c>
      <c r="J17" s="99"/>
      <c r="K17" s="691" t="s">
        <v>267</v>
      </c>
      <c r="L17" s="691"/>
      <c r="M17" s="691"/>
      <c r="N17" s="692"/>
      <c r="O17" s="494"/>
      <c r="P17" s="494"/>
      <c r="Q17" s="494"/>
      <c r="R17" s="494"/>
      <c r="S17" s="494"/>
      <c r="T17" s="494"/>
      <c r="U17" s="494"/>
      <c r="V17" s="494"/>
      <c r="W17" s="494"/>
      <c r="X17" s="494"/>
      <c r="Y17" s="494"/>
      <c r="Z17" s="494"/>
      <c r="AA17" s="494"/>
      <c r="AB17" s="494"/>
      <c r="AC17" s="494"/>
      <c r="AD17" s="494"/>
      <c r="AE17" s="494"/>
      <c r="AF17" s="494"/>
      <c r="AG17" s="494"/>
      <c r="AH17" s="494"/>
      <c r="AI17" s="494"/>
      <c r="AJ17" s="494"/>
      <c r="AK17" s="494"/>
      <c r="AL17" s="495"/>
      <c r="AM17" s="495"/>
      <c r="AN17" s="496"/>
      <c r="AO17" s="495"/>
      <c r="AP17" s="494"/>
      <c r="AQ17" s="494"/>
      <c r="AR17" s="494"/>
      <c r="AS17" s="494"/>
      <c r="AT17" s="494"/>
      <c r="AU17" s="494"/>
      <c r="AV17" s="494"/>
      <c r="AW17" s="494"/>
      <c r="AX17" s="494"/>
      <c r="AY17" s="494"/>
      <c r="AZ17" s="494"/>
      <c r="BA17" s="494"/>
      <c r="BB17" s="494"/>
      <c r="BC17" s="494"/>
      <c r="BD17" s="494"/>
      <c r="BE17" s="494"/>
      <c r="BF17" s="494"/>
      <c r="BG17" s="494"/>
      <c r="BH17" s="494"/>
      <c r="BI17" s="494"/>
      <c r="BJ17" s="494"/>
      <c r="BK17" s="494"/>
      <c r="BL17" s="494"/>
      <c r="BM17" s="494"/>
      <c r="BN17" s="494"/>
      <c r="BO17" s="494"/>
      <c r="BP17" s="494"/>
      <c r="BQ17" s="494"/>
      <c r="BR17" s="494"/>
      <c r="BS17" s="494"/>
      <c r="BT17" s="494"/>
      <c r="BU17" s="494"/>
      <c r="BV17" s="494"/>
      <c r="BW17" s="494"/>
      <c r="BX17" s="494"/>
      <c r="BY17" s="494"/>
      <c r="BZ17" s="494"/>
      <c r="CA17" s="494"/>
      <c r="CB17" s="494"/>
      <c r="CC17" s="494"/>
      <c r="CD17" s="494"/>
      <c r="CE17" s="494"/>
      <c r="CF17" s="494"/>
      <c r="CG17" s="494"/>
      <c r="CH17" s="494"/>
      <c r="CI17" s="494"/>
      <c r="CJ17" s="494"/>
      <c r="CK17" s="494"/>
      <c r="CL17" s="494"/>
      <c r="CM17" s="494"/>
      <c r="CN17" s="494"/>
      <c r="CO17" s="494"/>
      <c r="CP17" s="494"/>
      <c r="CQ17" s="494"/>
      <c r="CR17" s="494"/>
      <c r="CS17" s="494"/>
      <c r="CT17" s="494"/>
      <c r="CU17" s="494"/>
      <c r="CV17" s="494"/>
      <c r="CW17" s="494"/>
      <c r="CX17" s="494"/>
      <c r="CY17" s="494"/>
      <c r="CZ17" s="494"/>
      <c r="DA17" s="494"/>
      <c r="DB17" s="494"/>
      <c r="DC17" s="494"/>
      <c r="DD17" s="494"/>
      <c r="DE17" s="494"/>
      <c r="DF17" s="494"/>
      <c r="DG17" s="494"/>
      <c r="DH17" s="494"/>
      <c r="DI17" s="494"/>
      <c r="DJ17" s="494"/>
      <c r="DK17" s="494"/>
      <c r="DL17" s="494"/>
      <c r="DM17" s="494"/>
      <c r="DN17" s="494"/>
      <c r="DO17" s="494"/>
      <c r="DP17" s="494"/>
      <c r="DQ17" s="494"/>
      <c r="DR17" s="494"/>
      <c r="DS17" s="494"/>
      <c r="DT17" s="494"/>
      <c r="DU17" s="494"/>
      <c r="DV17" s="494"/>
      <c r="DW17" s="494"/>
      <c r="DX17" s="494"/>
      <c r="DY17" s="494"/>
      <c r="DZ17" s="494"/>
      <c r="EA17" s="494"/>
      <c r="EB17" s="494"/>
      <c r="EC17" s="494"/>
      <c r="ED17" s="494"/>
      <c r="EE17" s="494"/>
      <c r="EF17" s="494"/>
      <c r="EG17" s="494"/>
      <c r="EH17" s="494"/>
      <c r="EI17" s="494"/>
      <c r="EJ17" s="494"/>
      <c r="EK17" s="494"/>
      <c r="EL17" s="494"/>
      <c r="EM17" s="494"/>
      <c r="EN17" s="494"/>
      <c r="EO17" s="494"/>
      <c r="EP17" s="494"/>
      <c r="EQ17" s="494"/>
      <c r="ER17" s="494"/>
      <c r="ES17" s="494"/>
      <c r="ET17" s="494"/>
      <c r="EU17" s="494"/>
      <c r="EV17" s="494"/>
      <c r="EW17" s="494"/>
      <c r="EX17" s="494"/>
      <c r="EY17" s="494"/>
      <c r="EZ17" s="494"/>
      <c r="FA17" s="494"/>
      <c r="FB17" s="494"/>
      <c r="FC17" s="494"/>
      <c r="FD17" s="494"/>
      <c r="FE17" s="494"/>
      <c r="FF17" s="494"/>
      <c r="FG17" s="494"/>
      <c r="FH17" s="494"/>
      <c r="FI17" s="494"/>
      <c r="FJ17" s="494"/>
      <c r="FK17" s="494"/>
      <c r="FL17" s="494"/>
      <c r="FM17" s="494"/>
      <c r="FN17" s="494"/>
      <c r="FO17" s="494"/>
      <c r="FP17" s="494"/>
      <c r="FQ17" s="494"/>
      <c r="FR17" s="494"/>
      <c r="FS17" s="494"/>
      <c r="FT17" s="494"/>
      <c r="FU17" s="494"/>
      <c r="FV17" s="494"/>
      <c r="FW17" s="494"/>
      <c r="FX17" s="494"/>
      <c r="FY17" s="494"/>
      <c r="FZ17" s="494"/>
      <c r="GA17" s="494"/>
      <c r="GB17" s="494"/>
      <c r="GC17" s="494"/>
      <c r="GD17" s="494"/>
    </row>
    <row r="18" spans="1:186" s="101" customFormat="1" ht="18" customHeight="1" thickBot="1">
      <c r="A18" s="688"/>
      <c r="B18" s="689"/>
      <c r="C18" s="689"/>
      <c r="D18" s="690"/>
      <c r="E18" s="132" t="s">
        <v>64</v>
      </c>
      <c r="F18" s="659"/>
      <c r="G18" s="659"/>
      <c r="H18" s="657"/>
      <c r="I18" s="132" t="s">
        <v>65</v>
      </c>
      <c r="J18" s="110"/>
      <c r="K18" s="693"/>
      <c r="L18" s="693"/>
      <c r="M18" s="693"/>
      <c r="N18" s="694"/>
      <c r="O18" s="494"/>
      <c r="P18" s="494"/>
      <c r="Q18" s="494"/>
      <c r="R18" s="494"/>
      <c r="S18" s="494"/>
      <c r="T18" s="494"/>
      <c r="U18" s="494"/>
      <c r="V18" s="494"/>
      <c r="W18" s="494"/>
      <c r="X18" s="494"/>
      <c r="Y18" s="494"/>
      <c r="Z18" s="494"/>
      <c r="AA18" s="494"/>
      <c r="AB18" s="494"/>
      <c r="AC18" s="494"/>
      <c r="AD18" s="494"/>
      <c r="AE18" s="494"/>
      <c r="AF18" s="494"/>
      <c r="AG18" s="494"/>
      <c r="AH18" s="494"/>
      <c r="AI18" s="494"/>
      <c r="AJ18" s="494"/>
      <c r="AK18" s="494"/>
      <c r="AL18" s="495"/>
      <c r="AM18" s="495"/>
      <c r="AN18" s="496"/>
      <c r="AO18" s="495"/>
      <c r="AP18" s="494"/>
      <c r="AQ18" s="494"/>
      <c r="AR18" s="494"/>
      <c r="AS18" s="494"/>
      <c r="AT18" s="494"/>
      <c r="AU18" s="494"/>
      <c r="AV18" s="494"/>
      <c r="AW18" s="494"/>
      <c r="AX18" s="494"/>
      <c r="AY18" s="494"/>
      <c r="AZ18" s="494"/>
      <c r="BA18" s="494"/>
      <c r="BB18" s="494"/>
      <c r="BC18" s="494"/>
      <c r="BD18" s="494"/>
      <c r="BE18" s="494"/>
      <c r="BF18" s="494"/>
      <c r="BG18" s="494"/>
      <c r="BH18" s="494"/>
      <c r="BI18" s="494"/>
      <c r="BJ18" s="494"/>
      <c r="BK18" s="494"/>
      <c r="BL18" s="494"/>
      <c r="BM18" s="494"/>
      <c r="BN18" s="494"/>
      <c r="BO18" s="494"/>
      <c r="BP18" s="494"/>
      <c r="BQ18" s="494"/>
      <c r="BR18" s="494"/>
      <c r="BS18" s="494"/>
      <c r="BT18" s="494"/>
      <c r="BU18" s="494"/>
      <c r="BV18" s="494"/>
      <c r="BW18" s="494"/>
      <c r="BX18" s="494"/>
      <c r="BY18" s="494"/>
      <c r="BZ18" s="494"/>
      <c r="CA18" s="494"/>
      <c r="CB18" s="494"/>
      <c r="CC18" s="494"/>
      <c r="CD18" s="494"/>
      <c r="CE18" s="494"/>
      <c r="CF18" s="494"/>
      <c r="CG18" s="494"/>
      <c r="CH18" s="494"/>
      <c r="CI18" s="494"/>
      <c r="CJ18" s="494"/>
      <c r="CK18" s="494"/>
      <c r="CL18" s="494"/>
      <c r="CM18" s="494"/>
      <c r="CN18" s="494"/>
      <c r="CO18" s="494"/>
      <c r="CP18" s="494"/>
      <c r="CQ18" s="494"/>
      <c r="CR18" s="494"/>
      <c r="CS18" s="494"/>
      <c r="CT18" s="494"/>
      <c r="CU18" s="494"/>
      <c r="CV18" s="494"/>
      <c r="CW18" s="494"/>
      <c r="CX18" s="494"/>
      <c r="CY18" s="494"/>
      <c r="CZ18" s="494"/>
      <c r="DA18" s="494"/>
      <c r="DB18" s="494"/>
      <c r="DC18" s="494"/>
      <c r="DD18" s="494"/>
      <c r="DE18" s="494"/>
      <c r="DF18" s="494"/>
      <c r="DG18" s="494"/>
      <c r="DH18" s="494"/>
      <c r="DI18" s="494"/>
      <c r="DJ18" s="494"/>
      <c r="DK18" s="494"/>
      <c r="DL18" s="494"/>
      <c r="DM18" s="494"/>
      <c r="DN18" s="494"/>
      <c r="DO18" s="494"/>
      <c r="DP18" s="494"/>
      <c r="DQ18" s="494"/>
      <c r="DR18" s="494"/>
      <c r="DS18" s="494"/>
      <c r="DT18" s="494"/>
      <c r="DU18" s="494"/>
      <c r="DV18" s="494"/>
      <c r="DW18" s="494"/>
      <c r="DX18" s="494"/>
      <c r="DY18" s="494"/>
      <c r="DZ18" s="494"/>
      <c r="EA18" s="494"/>
      <c r="EB18" s="494"/>
      <c r="EC18" s="494"/>
      <c r="ED18" s="494"/>
      <c r="EE18" s="494"/>
      <c r="EF18" s="494"/>
      <c r="EG18" s="494"/>
      <c r="EH18" s="494"/>
      <c r="EI18" s="494"/>
      <c r="EJ18" s="494"/>
      <c r="EK18" s="494"/>
      <c r="EL18" s="494"/>
      <c r="EM18" s="494"/>
      <c r="EN18" s="494"/>
      <c r="EO18" s="494"/>
      <c r="EP18" s="494"/>
      <c r="EQ18" s="494"/>
      <c r="ER18" s="494"/>
      <c r="ES18" s="494"/>
      <c r="ET18" s="494"/>
      <c r="EU18" s="494"/>
      <c r="EV18" s="494"/>
      <c r="EW18" s="494"/>
      <c r="EX18" s="494"/>
      <c r="EY18" s="494"/>
      <c r="EZ18" s="494"/>
      <c r="FA18" s="494"/>
      <c r="FB18" s="494"/>
      <c r="FC18" s="494"/>
      <c r="FD18" s="494"/>
      <c r="FE18" s="494"/>
      <c r="FF18" s="494"/>
      <c r="FG18" s="494"/>
      <c r="FH18" s="494"/>
      <c r="FI18" s="494"/>
      <c r="FJ18" s="494"/>
      <c r="FK18" s="494"/>
      <c r="FL18" s="494"/>
      <c r="FM18" s="494"/>
      <c r="FN18" s="494"/>
      <c r="FO18" s="494"/>
      <c r="FP18" s="494"/>
      <c r="FQ18" s="494"/>
      <c r="FR18" s="494"/>
      <c r="FS18" s="494"/>
      <c r="FT18" s="494"/>
      <c r="FU18" s="494"/>
      <c r="FV18" s="494"/>
      <c r="FW18" s="494"/>
      <c r="FX18" s="494"/>
      <c r="FY18" s="494"/>
      <c r="FZ18" s="494"/>
      <c r="GA18" s="494"/>
      <c r="GB18" s="494"/>
      <c r="GC18" s="494"/>
      <c r="GD18" s="494"/>
    </row>
    <row r="19" spans="1:186" s="101" customFormat="1" ht="18" customHeight="1">
      <c r="A19" s="107" t="s">
        <v>66</v>
      </c>
      <c r="B19" s="99"/>
      <c r="C19" s="644" t="s">
        <v>67</v>
      </c>
      <c r="D19" s="390" t="s">
        <v>268</v>
      </c>
      <c r="E19" s="553"/>
      <c r="F19" s="676" t="s">
        <v>269</v>
      </c>
      <c r="G19" s="446" t="s">
        <v>251</v>
      </c>
      <c r="H19" s="554"/>
      <c r="I19" s="554"/>
      <c r="J19" s="555"/>
      <c r="K19" s="447" t="s">
        <v>252</v>
      </c>
      <c r="L19" s="99"/>
      <c r="M19" s="448"/>
      <c r="N19" s="449"/>
      <c r="O19" s="494"/>
      <c r="P19" s="494"/>
      <c r="Q19" s="494"/>
      <c r="R19" s="494"/>
      <c r="S19" s="494"/>
      <c r="T19" s="494"/>
      <c r="U19" s="494"/>
      <c r="V19" s="494"/>
      <c r="W19" s="494"/>
      <c r="X19" s="494"/>
      <c r="Y19" s="494"/>
      <c r="Z19" s="494"/>
      <c r="AA19" s="494"/>
      <c r="AB19" s="494"/>
      <c r="AC19" s="494"/>
      <c r="AD19" s="494"/>
      <c r="AE19" s="494"/>
      <c r="AF19" s="494"/>
      <c r="AG19" s="494"/>
      <c r="AH19" s="494"/>
      <c r="AI19" s="494"/>
      <c r="AJ19" s="494"/>
      <c r="AK19" s="494"/>
      <c r="AL19" s="495"/>
      <c r="AM19" s="495"/>
      <c r="AN19" s="496"/>
      <c r="AO19" s="495"/>
      <c r="AP19" s="494"/>
      <c r="AQ19" s="494"/>
      <c r="AR19" s="494"/>
      <c r="AS19" s="494"/>
      <c r="AT19" s="494"/>
      <c r="AU19" s="494"/>
      <c r="AV19" s="494"/>
      <c r="AW19" s="494"/>
      <c r="AX19" s="494"/>
      <c r="AY19" s="494"/>
      <c r="AZ19" s="494"/>
      <c r="BA19" s="494"/>
      <c r="BB19" s="494"/>
      <c r="BC19" s="494"/>
      <c r="BD19" s="494"/>
      <c r="BE19" s="494"/>
      <c r="BF19" s="494"/>
      <c r="BG19" s="494"/>
      <c r="BH19" s="494"/>
      <c r="BI19" s="494"/>
      <c r="BJ19" s="494"/>
      <c r="BK19" s="494"/>
      <c r="BL19" s="494"/>
      <c r="BM19" s="494"/>
      <c r="BN19" s="494"/>
      <c r="BO19" s="494"/>
      <c r="BP19" s="494"/>
      <c r="BQ19" s="494"/>
      <c r="BR19" s="494"/>
      <c r="BS19" s="494"/>
      <c r="BT19" s="494"/>
      <c r="BU19" s="494"/>
      <c r="BV19" s="494"/>
      <c r="BW19" s="494"/>
      <c r="BX19" s="494"/>
      <c r="BY19" s="494"/>
      <c r="BZ19" s="494"/>
      <c r="CA19" s="494"/>
      <c r="CB19" s="494"/>
      <c r="CC19" s="494"/>
      <c r="CD19" s="494"/>
      <c r="CE19" s="494"/>
      <c r="CF19" s="494"/>
      <c r="CG19" s="494"/>
      <c r="CH19" s="494"/>
      <c r="CI19" s="494"/>
      <c r="CJ19" s="494"/>
      <c r="CK19" s="494"/>
      <c r="CL19" s="494"/>
      <c r="CM19" s="494"/>
      <c r="CN19" s="494"/>
      <c r="CO19" s="494"/>
      <c r="CP19" s="494"/>
      <c r="CQ19" s="494"/>
      <c r="CR19" s="494"/>
      <c r="CS19" s="494"/>
      <c r="CT19" s="494"/>
      <c r="CU19" s="494"/>
      <c r="CV19" s="494"/>
      <c r="CW19" s="494"/>
      <c r="CX19" s="494"/>
      <c r="CY19" s="494"/>
      <c r="CZ19" s="494"/>
      <c r="DA19" s="494"/>
      <c r="DB19" s="494"/>
      <c r="DC19" s="494"/>
      <c r="DD19" s="494"/>
      <c r="DE19" s="494"/>
      <c r="DF19" s="494"/>
      <c r="DG19" s="494"/>
      <c r="DH19" s="494"/>
      <c r="DI19" s="494"/>
      <c r="DJ19" s="494"/>
      <c r="DK19" s="494"/>
      <c r="DL19" s="494"/>
      <c r="DM19" s="494"/>
      <c r="DN19" s="494"/>
      <c r="DO19" s="494"/>
      <c r="DP19" s="494"/>
      <c r="DQ19" s="494"/>
      <c r="DR19" s="494"/>
      <c r="DS19" s="494"/>
      <c r="DT19" s="494"/>
      <c r="DU19" s="494"/>
      <c r="DV19" s="494"/>
      <c r="DW19" s="494"/>
      <c r="DX19" s="494"/>
      <c r="DY19" s="494"/>
      <c r="DZ19" s="494"/>
      <c r="EA19" s="494"/>
      <c r="EB19" s="494"/>
      <c r="EC19" s="494"/>
      <c r="ED19" s="494"/>
      <c r="EE19" s="494"/>
      <c r="EF19" s="494"/>
      <c r="EG19" s="494"/>
      <c r="EH19" s="494"/>
      <c r="EI19" s="494"/>
      <c r="EJ19" s="494"/>
      <c r="EK19" s="494"/>
      <c r="EL19" s="494"/>
      <c r="EM19" s="494"/>
      <c r="EN19" s="494"/>
      <c r="EO19" s="494"/>
      <c r="EP19" s="494"/>
      <c r="EQ19" s="494"/>
      <c r="ER19" s="494"/>
      <c r="ES19" s="494"/>
      <c r="ET19" s="494"/>
      <c r="EU19" s="494"/>
      <c r="EV19" s="494"/>
      <c r="EW19" s="494"/>
      <c r="EX19" s="494"/>
      <c r="EY19" s="494"/>
      <c r="EZ19" s="494"/>
      <c r="FA19" s="494"/>
      <c r="FB19" s="494"/>
      <c r="FC19" s="494"/>
      <c r="FD19" s="494"/>
      <c r="FE19" s="494"/>
      <c r="FF19" s="494"/>
      <c r="FG19" s="494"/>
      <c r="FH19" s="494"/>
      <c r="FI19" s="494"/>
      <c r="FJ19" s="494"/>
      <c r="FK19" s="494"/>
      <c r="FL19" s="494"/>
      <c r="FM19" s="494"/>
      <c r="FN19" s="494"/>
      <c r="FO19" s="494"/>
      <c r="FP19" s="494"/>
      <c r="FQ19" s="494"/>
      <c r="FR19" s="494"/>
      <c r="FS19" s="494"/>
      <c r="FT19" s="494"/>
      <c r="FU19" s="494"/>
      <c r="FV19" s="494"/>
      <c r="FW19" s="494"/>
      <c r="FX19" s="494"/>
      <c r="FY19" s="494"/>
      <c r="FZ19" s="494"/>
      <c r="GA19" s="494"/>
      <c r="GB19" s="494"/>
      <c r="GC19" s="494"/>
      <c r="GD19" s="494"/>
    </row>
    <row r="20" spans="1:186" s="101" customFormat="1" ht="18" customHeight="1" thickBot="1">
      <c r="A20" s="132" t="s">
        <v>68</v>
      </c>
      <c r="B20" s="110"/>
      <c r="C20" s="645"/>
      <c r="D20" s="391" t="s">
        <v>270</v>
      </c>
      <c r="E20" s="556"/>
      <c r="F20" s="677"/>
      <c r="G20" s="450" t="s">
        <v>253</v>
      </c>
      <c r="H20" s="451"/>
      <c r="I20" s="451"/>
      <c r="J20" s="557"/>
      <c r="K20" s="452" t="s">
        <v>254</v>
      </c>
      <c r="L20" s="110"/>
      <c r="M20" s="453"/>
      <c r="N20" s="454"/>
      <c r="O20" s="494"/>
      <c r="P20" s="494"/>
      <c r="Q20" s="494"/>
      <c r="R20" s="494"/>
      <c r="S20" s="494"/>
      <c r="T20" s="494"/>
      <c r="U20" s="494"/>
      <c r="V20" s="494"/>
      <c r="W20" s="494"/>
      <c r="X20" s="494"/>
      <c r="Y20" s="494"/>
      <c r="Z20" s="494"/>
      <c r="AA20" s="494"/>
      <c r="AB20" s="494"/>
      <c r="AC20" s="494"/>
      <c r="AD20" s="494"/>
      <c r="AE20" s="494"/>
      <c r="AF20" s="494"/>
      <c r="AG20" s="494"/>
      <c r="AH20" s="494"/>
      <c r="AI20" s="494"/>
      <c r="AJ20" s="494"/>
      <c r="AK20" s="494"/>
      <c r="AL20" s="495"/>
      <c r="AM20" s="495"/>
      <c r="AN20" s="496"/>
      <c r="AO20" s="495"/>
      <c r="AP20" s="494"/>
      <c r="AQ20" s="494"/>
      <c r="AR20" s="494"/>
      <c r="AS20" s="494"/>
      <c r="AT20" s="494"/>
      <c r="AU20" s="494"/>
      <c r="AV20" s="494"/>
      <c r="AW20" s="494"/>
      <c r="AX20" s="494"/>
      <c r="AY20" s="494"/>
      <c r="AZ20" s="494"/>
      <c r="BA20" s="494"/>
      <c r="BB20" s="494"/>
      <c r="BC20" s="494"/>
      <c r="BD20" s="494"/>
      <c r="BE20" s="494"/>
      <c r="BF20" s="494"/>
      <c r="BG20" s="494"/>
      <c r="BH20" s="494"/>
      <c r="BI20" s="494"/>
      <c r="BJ20" s="494"/>
      <c r="BK20" s="494"/>
      <c r="BL20" s="494"/>
      <c r="BM20" s="494"/>
      <c r="BN20" s="494"/>
      <c r="BO20" s="494"/>
      <c r="BP20" s="494"/>
      <c r="BQ20" s="494"/>
      <c r="BR20" s="494"/>
      <c r="BS20" s="494"/>
      <c r="BT20" s="494"/>
      <c r="BU20" s="494"/>
      <c r="BV20" s="494"/>
      <c r="BW20" s="494"/>
      <c r="BX20" s="494"/>
      <c r="BY20" s="494"/>
      <c r="BZ20" s="494"/>
      <c r="CA20" s="494"/>
      <c r="CB20" s="494"/>
      <c r="CC20" s="494"/>
      <c r="CD20" s="494"/>
      <c r="CE20" s="494"/>
      <c r="CF20" s="494"/>
      <c r="CG20" s="494"/>
      <c r="CH20" s="494"/>
      <c r="CI20" s="494"/>
      <c r="CJ20" s="494"/>
      <c r="CK20" s="494"/>
      <c r="CL20" s="494"/>
      <c r="CM20" s="494"/>
      <c r="CN20" s="494"/>
      <c r="CO20" s="494"/>
      <c r="CP20" s="494"/>
      <c r="CQ20" s="494"/>
      <c r="CR20" s="494"/>
      <c r="CS20" s="494"/>
      <c r="CT20" s="494"/>
      <c r="CU20" s="494"/>
      <c r="CV20" s="494"/>
      <c r="CW20" s="494"/>
      <c r="CX20" s="494"/>
      <c r="CY20" s="494"/>
      <c r="CZ20" s="494"/>
      <c r="DA20" s="494"/>
      <c r="DB20" s="494"/>
      <c r="DC20" s="494"/>
      <c r="DD20" s="494"/>
      <c r="DE20" s="494"/>
      <c r="DF20" s="494"/>
      <c r="DG20" s="494"/>
      <c r="DH20" s="494"/>
      <c r="DI20" s="494"/>
      <c r="DJ20" s="494"/>
      <c r="DK20" s="494"/>
      <c r="DL20" s="494"/>
      <c r="DM20" s="494"/>
      <c r="DN20" s="494"/>
      <c r="DO20" s="494"/>
      <c r="DP20" s="494"/>
      <c r="DQ20" s="494"/>
      <c r="DR20" s="494"/>
      <c r="DS20" s="494"/>
      <c r="DT20" s="494"/>
      <c r="DU20" s="494"/>
      <c r="DV20" s="494"/>
      <c r="DW20" s="494"/>
      <c r="DX20" s="494"/>
      <c r="DY20" s="494"/>
      <c r="DZ20" s="494"/>
      <c r="EA20" s="494"/>
      <c r="EB20" s="494"/>
      <c r="EC20" s="494"/>
      <c r="ED20" s="494"/>
      <c r="EE20" s="494"/>
      <c r="EF20" s="494"/>
      <c r="EG20" s="494"/>
      <c r="EH20" s="494"/>
      <c r="EI20" s="494"/>
      <c r="EJ20" s="494"/>
      <c r="EK20" s="494"/>
      <c r="EL20" s="494"/>
      <c r="EM20" s="494"/>
      <c r="EN20" s="494"/>
      <c r="EO20" s="494"/>
      <c r="EP20" s="494"/>
      <c r="EQ20" s="494"/>
      <c r="ER20" s="494"/>
      <c r="ES20" s="494"/>
      <c r="ET20" s="494"/>
      <c r="EU20" s="494"/>
      <c r="EV20" s="494"/>
      <c r="EW20" s="494"/>
      <c r="EX20" s="494"/>
      <c r="EY20" s="494"/>
      <c r="EZ20" s="494"/>
      <c r="FA20" s="494"/>
      <c r="FB20" s="494"/>
      <c r="FC20" s="494"/>
      <c r="FD20" s="494"/>
      <c r="FE20" s="494"/>
      <c r="FF20" s="494"/>
      <c r="FG20" s="494"/>
      <c r="FH20" s="494"/>
      <c r="FI20" s="494"/>
      <c r="FJ20" s="494"/>
      <c r="FK20" s="494"/>
      <c r="FL20" s="494"/>
      <c r="FM20" s="494"/>
      <c r="FN20" s="494"/>
      <c r="FO20" s="494"/>
      <c r="FP20" s="494"/>
      <c r="FQ20" s="494"/>
      <c r="FR20" s="494"/>
      <c r="FS20" s="494"/>
      <c r="FT20" s="494"/>
      <c r="FU20" s="494"/>
      <c r="FV20" s="494"/>
      <c r="FW20" s="494"/>
      <c r="FX20" s="494"/>
      <c r="FY20" s="494"/>
      <c r="FZ20" s="494"/>
      <c r="GA20" s="494"/>
      <c r="GB20" s="494"/>
      <c r="GC20" s="494"/>
      <c r="GD20" s="494"/>
    </row>
    <row r="21" spans="1:186" s="133" customFormat="1" ht="18" customHeight="1">
      <c r="A21" s="630" t="s">
        <v>69</v>
      </c>
      <c r="B21" s="631"/>
      <c r="C21" s="631"/>
      <c r="D21" s="631"/>
      <c r="E21" s="632" t="s">
        <v>70</v>
      </c>
      <c r="F21" s="624">
        <v>400</v>
      </c>
      <c r="G21" s="625"/>
      <c r="H21" s="630" t="s">
        <v>71</v>
      </c>
      <c r="I21" s="631"/>
      <c r="J21" s="631"/>
      <c r="K21" s="631"/>
      <c r="L21" s="632" t="s">
        <v>72</v>
      </c>
      <c r="M21" s="624">
        <v>400</v>
      </c>
      <c r="N21" s="625"/>
      <c r="O21" s="492"/>
      <c r="P21" s="492"/>
      <c r="Q21" s="492"/>
      <c r="R21" s="492"/>
      <c r="S21" s="492"/>
      <c r="T21" s="492"/>
      <c r="U21" s="492"/>
      <c r="V21" s="492"/>
      <c r="W21" s="492"/>
      <c r="X21" s="492"/>
      <c r="Y21" s="492"/>
      <c r="Z21" s="492"/>
      <c r="AA21" s="492"/>
      <c r="AB21" s="492"/>
      <c r="AC21" s="492"/>
      <c r="AD21" s="492"/>
      <c r="AE21" s="492"/>
      <c r="AF21" s="492"/>
      <c r="AG21" s="492"/>
      <c r="AH21" s="492"/>
      <c r="AI21" s="492"/>
      <c r="AJ21" s="492"/>
      <c r="AK21" s="492"/>
      <c r="AL21" s="497"/>
      <c r="AM21" s="497"/>
      <c r="AN21" s="497"/>
      <c r="AO21" s="498"/>
      <c r="AP21" s="497"/>
      <c r="AQ21" s="492"/>
      <c r="AR21" s="492"/>
      <c r="AS21" s="492"/>
      <c r="AT21" s="492"/>
      <c r="AU21" s="492"/>
      <c r="AV21" s="492"/>
      <c r="AW21" s="492"/>
      <c r="AX21" s="492"/>
      <c r="AY21" s="492"/>
      <c r="AZ21" s="492"/>
      <c r="BA21" s="492"/>
      <c r="BB21" s="492"/>
      <c r="BC21" s="492"/>
      <c r="BD21" s="492"/>
      <c r="BE21" s="492"/>
      <c r="BF21" s="492"/>
      <c r="BG21" s="492"/>
      <c r="BH21" s="492"/>
      <c r="BI21" s="492"/>
      <c r="BJ21" s="492"/>
      <c r="BK21" s="492"/>
      <c r="BL21" s="492"/>
      <c r="BM21" s="492"/>
      <c r="BN21" s="492"/>
      <c r="BO21" s="492"/>
      <c r="BP21" s="492"/>
      <c r="BQ21" s="492"/>
      <c r="BR21" s="492"/>
      <c r="BS21" s="492"/>
      <c r="BT21" s="492"/>
      <c r="BU21" s="492"/>
      <c r="BV21" s="492"/>
      <c r="BW21" s="492"/>
      <c r="BX21" s="492"/>
      <c r="BY21" s="492"/>
      <c r="BZ21" s="492"/>
      <c r="CA21" s="492"/>
      <c r="CB21" s="492"/>
      <c r="CC21" s="492"/>
      <c r="CD21" s="492"/>
      <c r="CE21" s="492"/>
      <c r="CF21" s="492"/>
      <c r="CG21" s="492"/>
      <c r="CH21" s="492"/>
      <c r="CI21" s="492"/>
      <c r="CJ21" s="492"/>
      <c r="CK21" s="492"/>
      <c r="CL21" s="492"/>
      <c r="CM21" s="492"/>
      <c r="CN21" s="492"/>
      <c r="CO21" s="492"/>
      <c r="CP21" s="492"/>
      <c r="CQ21" s="492"/>
      <c r="CR21" s="492"/>
      <c r="CS21" s="492"/>
      <c r="CT21" s="492"/>
      <c r="CU21" s="492"/>
      <c r="CV21" s="492"/>
      <c r="CW21" s="492"/>
      <c r="CX21" s="492"/>
      <c r="CY21" s="492"/>
      <c r="CZ21" s="492"/>
      <c r="DA21" s="492"/>
      <c r="DB21" s="492"/>
      <c r="DC21" s="492"/>
      <c r="DD21" s="492"/>
      <c r="DE21" s="492"/>
      <c r="DF21" s="492"/>
      <c r="DG21" s="492"/>
      <c r="DH21" s="492"/>
      <c r="DI21" s="492"/>
      <c r="DJ21" s="492"/>
      <c r="DK21" s="492"/>
      <c r="DL21" s="492"/>
      <c r="DM21" s="492"/>
      <c r="DN21" s="492"/>
      <c r="DO21" s="492"/>
      <c r="DP21" s="492"/>
      <c r="DQ21" s="492"/>
      <c r="DR21" s="492"/>
      <c r="DS21" s="492"/>
      <c r="DT21" s="492"/>
      <c r="DU21" s="492"/>
      <c r="DV21" s="492"/>
      <c r="DW21" s="492"/>
      <c r="DX21" s="492"/>
      <c r="DY21" s="492"/>
      <c r="DZ21" s="492"/>
      <c r="EA21" s="492"/>
      <c r="EB21" s="492"/>
      <c r="EC21" s="492"/>
      <c r="ED21" s="492"/>
      <c r="EE21" s="492"/>
      <c r="EF21" s="492"/>
      <c r="EG21" s="492"/>
      <c r="EH21" s="492"/>
      <c r="EI21" s="492"/>
      <c r="EJ21" s="492"/>
      <c r="EK21" s="492"/>
      <c r="EL21" s="492"/>
      <c r="EM21" s="492"/>
      <c r="EN21" s="492"/>
      <c r="EO21" s="492"/>
      <c r="EP21" s="492"/>
      <c r="EQ21" s="492"/>
      <c r="ER21" s="492"/>
      <c r="ES21" s="492"/>
      <c r="ET21" s="492"/>
      <c r="EU21" s="492"/>
      <c r="EV21" s="492"/>
      <c r="EW21" s="492"/>
      <c r="EX21" s="492"/>
      <c r="EY21" s="492"/>
      <c r="EZ21" s="492"/>
      <c r="FA21" s="492"/>
      <c r="FB21" s="492"/>
      <c r="FC21" s="492"/>
      <c r="FD21" s="492"/>
      <c r="FE21" s="492"/>
      <c r="FF21" s="492"/>
      <c r="FG21" s="492"/>
      <c r="FH21" s="492"/>
      <c r="FI21" s="492"/>
      <c r="FJ21" s="492"/>
      <c r="FK21" s="492"/>
      <c r="FL21" s="492"/>
      <c r="FM21" s="492"/>
      <c r="FN21" s="492"/>
      <c r="FO21" s="492"/>
      <c r="FP21" s="492"/>
      <c r="FQ21" s="492"/>
      <c r="FR21" s="492"/>
      <c r="FS21" s="492"/>
      <c r="FT21" s="492"/>
      <c r="FU21" s="492"/>
      <c r="FV21" s="492"/>
      <c r="FW21" s="492"/>
      <c r="FX21" s="492"/>
      <c r="FY21" s="492"/>
      <c r="FZ21" s="492"/>
      <c r="GA21" s="492"/>
      <c r="GB21" s="492"/>
      <c r="GC21" s="492"/>
      <c r="GD21" s="492"/>
    </row>
    <row r="22" spans="1:186" s="133" customFormat="1" ht="18" customHeight="1" thickBot="1">
      <c r="A22" s="628" t="s">
        <v>73</v>
      </c>
      <c r="B22" s="629"/>
      <c r="C22" s="629"/>
      <c r="D22" s="629"/>
      <c r="E22" s="633"/>
      <c r="F22" s="626"/>
      <c r="G22" s="627"/>
      <c r="H22" s="628" t="s">
        <v>74</v>
      </c>
      <c r="I22" s="629"/>
      <c r="J22" s="629"/>
      <c r="K22" s="629"/>
      <c r="L22" s="633"/>
      <c r="M22" s="626"/>
      <c r="N22" s="627"/>
      <c r="O22" s="492"/>
      <c r="P22" s="492"/>
      <c r="Q22" s="492"/>
      <c r="R22" s="492"/>
      <c r="S22" s="492"/>
      <c r="T22" s="492"/>
      <c r="U22" s="492"/>
      <c r="V22" s="492"/>
      <c r="W22" s="492"/>
      <c r="X22" s="492"/>
      <c r="Y22" s="492"/>
      <c r="Z22" s="492"/>
      <c r="AA22" s="492"/>
      <c r="AB22" s="492"/>
      <c r="AC22" s="492"/>
      <c r="AD22" s="492"/>
      <c r="AE22" s="492"/>
      <c r="AF22" s="492"/>
      <c r="AG22" s="492"/>
      <c r="AH22" s="492"/>
      <c r="AI22" s="492"/>
      <c r="AJ22" s="492"/>
      <c r="AK22" s="492"/>
      <c r="AL22" s="497"/>
      <c r="AM22" s="497"/>
      <c r="AN22" s="497"/>
      <c r="AO22" s="498"/>
      <c r="AP22" s="497"/>
      <c r="AQ22" s="492"/>
      <c r="AR22" s="492"/>
      <c r="AS22" s="492"/>
      <c r="AT22" s="492"/>
      <c r="AU22" s="492"/>
      <c r="AV22" s="492"/>
      <c r="AW22" s="492"/>
      <c r="AX22" s="492"/>
      <c r="AY22" s="492"/>
      <c r="AZ22" s="492"/>
      <c r="BA22" s="492"/>
      <c r="BB22" s="492"/>
      <c r="BC22" s="492"/>
      <c r="BD22" s="492"/>
      <c r="BE22" s="492"/>
      <c r="BF22" s="492"/>
      <c r="BG22" s="492"/>
      <c r="BH22" s="492"/>
      <c r="BI22" s="492"/>
      <c r="BJ22" s="492"/>
      <c r="BK22" s="492"/>
      <c r="BL22" s="492"/>
      <c r="BM22" s="492"/>
      <c r="BN22" s="492"/>
      <c r="BO22" s="492"/>
      <c r="BP22" s="492"/>
      <c r="BQ22" s="492"/>
      <c r="BR22" s="492"/>
      <c r="BS22" s="492"/>
      <c r="BT22" s="492"/>
      <c r="BU22" s="492"/>
      <c r="BV22" s="492"/>
      <c r="BW22" s="492"/>
      <c r="BX22" s="492"/>
      <c r="BY22" s="492"/>
      <c r="BZ22" s="492"/>
      <c r="CA22" s="492"/>
      <c r="CB22" s="492"/>
      <c r="CC22" s="492"/>
      <c r="CD22" s="492"/>
      <c r="CE22" s="492"/>
      <c r="CF22" s="492"/>
      <c r="CG22" s="492"/>
      <c r="CH22" s="492"/>
      <c r="CI22" s="492"/>
      <c r="CJ22" s="492"/>
      <c r="CK22" s="492"/>
      <c r="CL22" s="492"/>
      <c r="CM22" s="492"/>
      <c r="CN22" s="492"/>
      <c r="CO22" s="492"/>
      <c r="CP22" s="492"/>
      <c r="CQ22" s="492"/>
      <c r="CR22" s="492"/>
      <c r="CS22" s="492"/>
      <c r="CT22" s="492"/>
      <c r="CU22" s="492"/>
      <c r="CV22" s="492"/>
      <c r="CW22" s="492"/>
      <c r="CX22" s="492"/>
      <c r="CY22" s="492"/>
      <c r="CZ22" s="492"/>
      <c r="DA22" s="492"/>
      <c r="DB22" s="492"/>
      <c r="DC22" s="492"/>
      <c r="DD22" s="492"/>
      <c r="DE22" s="492"/>
      <c r="DF22" s="492"/>
      <c r="DG22" s="492"/>
      <c r="DH22" s="492"/>
      <c r="DI22" s="492"/>
      <c r="DJ22" s="492"/>
      <c r="DK22" s="492"/>
      <c r="DL22" s="492"/>
      <c r="DM22" s="492"/>
      <c r="DN22" s="492"/>
      <c r="DO22" s="492"/>
      <c r="DP22" s="492"/>
      <c r="DQ22" s="492"/>
      <c r="DR22" s="492"/>
      <c r="DS22" s="492"/>
      <c r="DT22" s="492"/>
      <c r="DU22" s="492"/>
      <c r="DV22" s="492"/>
      <c r="DW22" s="492"/>
      <c r="DX22" s="492"/>
      <c r="DY22" s="492"/>
      <c r="DZ22" s="492"/>
      <c r="EA22" s="492"/>
      <c r="EB22" s="492"/>
      <c r="EC22" s="492"/>
      <c r="ED22" s="492"/>
      <c r="EE22" s="492"/>
      <c r="EF22" s="492"/>
      <c r="EG22" s="492"/>
      <c r="EH22" s="492"/>
      <c r="EI22" s="492"/>
      <c r="EJ22" s="492"/>
      <c r="EK22" s="492"/>
      <c r="EL22" s="492"/>
      <c r="EM22" s="492"/>
      <c r="EN22" s="492"/>
      <c r="EO22" s="492"/>
      <c r="EP22" s="492"/>
      <c r="EQ22" s="492"/>
      <c r="ER22" s="492"/>
      <c r="ES22" s="492"/>
      <c r="ET22" s="492"/>
      <c r="EU22" s="492"/>
      <c r="EV22" s="492"/>
      <c r="EW22" s="492"/>
      <c r="EX22" s="492"/>
      <c r="EY22" s="492"/>
      <c r="EZ22" s="492"/>
      <c r="FA22" s="492"/>
      <c r="FB22" s="492"/>
      <c r="FC22" s="492"/>
      <c r="FD22" s="492"/>
      <c r="FE22" s="492"/>
      <c r="FF22" s="492"/>
      <c r="FG22" s="492"/>
      <c r="FH22" s="492"/>
      <c r="FI22" s="492"/>
      <c r="FJ22" s="492"/>
      <c r="FK22" s="492"/>
      <c r="FL22" s="492"/>
      <c r="FM22" s="492"/>
      <c r="FN22" s="492"/>
      <c r="FO22" s="492"/>
      <c r="FP22" s="492"/>
      <c r="FQ22" s="492"/>
      <c r="FR22" s="492"/>
      <c r="FS22" s="492"/>
      <c r="FT22" s="492"/>
      <c r="FU22" s="492"/>
      <c r="FV22" s="492"/>
      <c r="FW22" s="492"/>
      <c r="FX22" s="492"/>
      <c r="FY22" s="492"/>
      <c r="FZ22" s="492"/>
      <c r="GA22" s="492"/>
      <c r="GB22" s="492"/>
      <c r="GC22" s="492"/>
      <c r="GD22" s="492"/>
    </row>
    <row r="23" spans="1:186" s="133" customFormat="1" ht="18" customHeight="1" thickBot="1">
      <c r="B23" s="114"/>
      <c r="C23" s="114"/>
      <c r="D23" s="114"/>
      <c r="E23" s="114"/>
      <c r="F23" s="134" t="str">
        <f>IF(F21&gt;500," Vb   ha de ser / must be  &lt; 500 V"," ")</f>
        <v xml:space="preserve"> </v>
      </c>
      <c r="G23" s="135" t="str">
        <f>IF(M21&gt;500,"  Vc   ha de ser / must be   &lt; 500 V"," ")</f>
        <v xml:space="preserve"> </v>
      </c>
      <c r="H23" s="136"/>
      <c r="I23" s="137"/>
      <c r="J23" s="138"/>
      <c r="K23" s="137"/>
      <c r="L23" s="137"/>
      <c r="M23" s="136"/>
      <c r="N23" s="134" t="str">
        <f>IF(M21&lt;F21,"Vc   ha de ser / must be   &gt; Vb"," ")</f>
        <v xml:space="preserve"> </v>
      </c>
      <c r="O23" s="492"/>
      <c r="P23" s="492"/>
      <c r="Q23" s="492"/>
      <c r="R23" s="492"/>
      <c r="S23" s="492"/>
      <c r="T23" s="492"/>
      <c r="U23" s="492"/>
      <c r="V23" s="492"/>
      <c r="W23" s="492"/>
      <c r="X23" s="492"/>
      <c r="Y23" s="492"/>
      <c r="Z23" s="492"/>
      <c r="AA23" s="492"/>
      <c r="AB23" s="492"/>
      <c r="AC23" s="492"/>
      <c r="AD23" s="492"/>
      <c r="AE23" s="492"/>
      <c r="AF23" s="492"/>
      <c r="AG23" s="492"/>
      <c r="AH23" s="492"/>
      <c r="AI23" s="492"/>
      <c r="AJ23" s="492"/>
      <c r="AK23" s="492"/>
      <c r="AL23" s="497"/>
      <c r="AM23" s="497"/>
      <c r="AN23" s="498"/>
      <c r="AO23" s="497"/>
      <c r="AP23" s="492"/>
      <c r="AQ23" s="492"/>
      <c r="AR23" s="492"/>
      <c r="AS23" s="492"/>
      <c r="AT23" s="492"/>
      <c r="AU23" s="492"/>
      <c r="AV23" s="492"/>
      <c r="AW23" s="492"/>
      <c r="AX23" s="492"/>
      <c r="AY23" s="492"/>
      <c r="AZ23" s="492"/>
      <c r="BA23" s="492"/>
      <c r="BB23" s="492"/>
      <c r="BC23" s="492"/>
      <c r="BD23" s="492"/>
      <c r="BE23" s="492"/>
      <c r="BF23" s="492"/>
      <c r="BG23" s="492"/>
      <c r="BH23" s="492"/>
      <c r="BI23" s="492"/>
      <c r="BJ23" s="492"/>
      <c r="BK23" s="492"/>
      <c r="BL23" s="492"/>
      <c r="BM23" s="492"/>
      <c r="BN23" s="492"/>
      <c r="BO23" s="492"/>
      <c r="BP23" s="492"/>
      <c r="BQ23" s="492"/>
      <c r="BR23" s="492"/>
      <c r="BS23" s="492"/>
      <c r="BT23" s="492"/>
      <c r="BU23" s="492"/>
      <c r="BV23" s="492"/>
      <c r="BW23" s="492"/>
      <c r="BX23" s="492"/>
      <c r="BY23" s="492"/>
      <c r="BZ23" s="492"/>
      <c r="CA23" s="492"/>
      <c r="CB23" s="492"/>
      <c r="CC23" s="492"/>
      <c r="CD23" s="492"/>
      <c r="CE23" s="492"/>
      <c r="CF23" s="492"/>
      <c r="CG23" s="492"/>
      <c r="CH23" s="492"/>
      <c r="CI23" s="492"/>
      <c r="CJ23" s="492"/>
      <c r="CK23" s="492"/>
      <c r="CL23" s="492"/>
      <c r="CM23" s="492"/>
      <c r="CN23" s="492"/>
      <c r="CO23" s="492"/>
      <c r="CP23" s="492"/>
      <c r="CQ23" s="492"/>
      <c r="CR23" s="492"/>
      <c r="CS23" s="492"/>
      <c r="CT23" s="492"/>
      <c r="CU23" s="492"/>
      <c r="CV23" s="492"/>
      <c r="CW23" s="492"/>
      <c r="CX23" s="492"/>
      <c r="CY23" s="492"/>
      <c r="CZ23" s="492"/>
      <c r="DA23" s="492"/>
      <c r="DB23" s="492"/>
      <c r="DC23" s="492"/>
      <c r="DD23" s="492"/>
      <c r="DE23" s="492"/>
      <c r="DF23" s="492"/>
      <c r="DG23" s="492"/>
      <c r="DH23" s="492"/>
      <c r="DI23" s="492"/>
      <c r="DJ23" s="492"/>
      <c r="DK23" s="492"/>
      <c r="DL23" s="492"/>
      <c r="DM23" s="492"/>
      <c r="DN23" s="492"/>
      <c r="DO23" s="492"/>
      <c r="DP23" s="492"/>
      <c r="DQ23" s="492"/>
      <c r="DR23" s="492"/>
      <c r="DS23" s="492"/>
      <c r="DT23" s="492"/>
      <c r="DU23" s="492"/>
      <c r="DV23" s="492"/>
      <c r="DW23" s="492"/>
      <c r="DX23" s="492"/>
      <c r="DY23" s="492"/>
      <c r="DZ23" s="492"/>
      <c r="EA23" s="492"/>
      <c r="EB23" s="492"/>
      <c r="EC23" s="492"/>
      <c r="ED23" s="492"/>
      <c r="EE23" s="492"/>
      <c r="EF23" s="492"/>
      <c r="EG23" s="492"/>
      <c r="EH23" s="492"/>
      <c r="EI23" s="492"/>
      <c r="EJ23" s="492"/>
      <c r="EK23" s="492"/>
      <c r="EL23" s="492"/>
      <c r="EM23" s="492"/>
      <c r="EN23" s="492"/>
      <c r="EO23" s="492"/>
      <c r="EP23" s="492"/>
      <c r="EQ23" s="492"/>
      <c r="ER23" s="492"/>
      <c r="ES23" s="492"/>
      <c r="ET23" s="492"/>
      <c r="EU23" s="492"/>
      <c r="EV23" s="492"/>
      <c r="EW23" s="492"/>
      <c r="EX23" s="492"/>
      <c r="EY23" s="492"/>
      <c r="EZ23" s="492"/>
      <c r="FA23" s="492"/>
      <c r="FB23" s="492"/>
      <c r="FC23" s="492"/>
      <c r="FD23" s="492"/>
      <c r="FE23" s="492"/>
      <c r="FF23" s="492"/>
      <c r="FG23" s="492"/>
      <c r="FH23" s="492"/>
      <c r="FI23" s="492"/>
      <c r="FJ23" s="492"/>
      <c r="FK23" s="492"/>
      <c r="FL23" s="492"/>
      <c r="FM23" s="492"/>
      <c r="FN23" s="492"/>
      <c r="FO23" s="492"/>
      <c r="FP23" s="492"/>
      <c r="FQ23" s="492"/>
      <c r="FR23" s="492"/>
      <c r="FS23" s="492"/>
      <c r="FT23" s="492"/>
      <c r="FU23" s="492"/>
      <c r="FV23" s="492"/>
      <c r="FW23" s="492"/>
      <c r="FX23" s="492"/>
      <c r="FY23" s="492"/>
      <c r="FZ23" s="492"/>
      <c r="GA23" s="492"/>
      <c r="GB23" s="492"/>
      <c r="GC23" s="492"/>
      <c r="GD23" s="492"/>
    </row>
    <row r="24" spans="1:186" s="133" customFormat="1" ht="18" customHeight="1">
      <c r="B24" s="609" t="s">
        <v>75</v>
      </c>
      <c r="C24" s="610"/>
      <c r="D24" s="610"/>
      <c r="E24" s="610"/>
      <c r="F24" s="613" t="s">
        <v>76</v>
      </c>
      <c r="G24" s="139"/>
      <c r="H24" s="634" t="s">
        <v>77</v>
      </c>
      <c r="I24" s="635"/>
      <c r="J24" s="635"/>
      <c r="K24" s="635"/>
      <c r="L24" s="638">
        <v>0.4</v>
      </c>
      <c r="M24" s="140" t="str">
        <f>IF(L24&gt;80%,"max 80%","")</f>
        <v/>
      </c>
      <c r="N24" s="141"/>
      <c r="O24" s="492"/>
      <c r="P24" s="492"/>
      <c r="Q24" s="492"/>
      <c r="R24" s="492"/>
      <c r="S24" s="492"/>
      <c r="T24" s="492"/>
      <c r="U24" s="492"/>
      <c r="V24" s="492"/>
      <c r="W24" s="492"/>
      <c r="X24" s="492"/>
      <c r="Y24" s="492"/>
      <c r="Z24" s="492"/>
      <c r="AA24" s="492"/>
      <c r="AB24" s="492"/>
      <c r="AC24" s="492"/>
      <c r="AD24" s="492"/>
      <c r="AE24" s="492"/>
      <c r="AF24" s="492"/>
      <c r="AG24" s="492"/>
      <c r="AH24" s="492"/>
      <c r="AI24" s="492"/>
      <c r="AJ24" s="492"/>
      <c r="AK24" s="492"/>
      <c r="AL24" s="497"/>
      <c r="AM24" s="497"/>
      <c r="AN24" s="498"/>
      <c r="AO24" s="497"/>
      <c r="AP24" s="492"/>
      <c r="AQ24" s="492"/>
      <c r="AR24" s="492"/>
      <c r="AS24" s="492"/>
      <c r="AT24" s="492"/>
      <c r="AU24" s="492"/>
      <c r="AV24" s="492"/>
      <c r="AW24" s="492"/>
      <c r="AX24" s="492"/>
      <c r="AY24" s="492"/>
      <c r="AZ24" s="492"/>
      <c r="BA24" s="492"/>
      <c r="BB24" s="492"/>
      <c r="BC24" s="492"/>
      <c r="BD24" s="492"/>
      <c r="BE24" s="492"/>
      <c r="BF24" s="492"/>
      <c r="BG24" s="492"/>
      <c r="BH24" s="492"/>
      <c r="BI24" s="492"/>
      <c r="BJ24" s="492"/>
      <c r="BK24" s="492"/>
      <c r="BL24" s="492"/>
      <c r="BM24" s="492"/>
      <c r="BN24" s="492"/>
      <c r="BO24" s="492"/>
      <c r="BP24" s="492"/>
      <c r="BQ24" s="492"/>
      <c r="BR24" s="492"/>
      <c r="BS24" s="492"/>
      <c r="BT24" s="492"/>
      <c r="BU24" s="492"/>
      <c r="BV24" s="492"/>
      <c r="BW24" s="492"/>
      <c r="BX24" s="492"/>
      <c r="BY24" s="492"/>
      <c r="BZ24" s="492"/>
      <c r="CA24" s="492"/>
      <c r="CB24" s="492"/>
      <c r="CC24" s="492"/>
      <c r="CD24" s="492"/>
      <c r="CE24" s="492"/>
      <c r="CF24" s="492"/>
      <c r="CG24" s="492"/>
      <c r="CH24" s="492"/>
      <c r="CI24" s="492"/>
      <c r="CJ24" s="492"/>
      <c r="CK24" s="492"/>
      <c r="CL24" s="492"/>
      <c r="CM24" s="492"/>
      <c r="CN24" s="492"/>
      <c r="CO24" s="492"/>
      <c r="CP24" s="492"/>
      <c r="CQ24" s="492"/>
      <c r="CR24" s="492"/>
      <c r="CS24" s="492"/>
      <c r="CT24" s="492"/>
      <c r="CU24" s="492"/>
      <c r="CV24" s="492"/>
      <c r="CW24" s="492"/>
      <c r="CX24" s="492"/>
      <c r="CY24" s="492"/>
      <c r="CZ24" s="492"/>
      <c r="DA24" s="492"/>
      <c r="DB24" s="492"/>
      <c r="DC24" s="492"/>
      <c r="DD24" s="492"/>
      <c r="DE24" s="492"/>
      <c r="DF24" s="492"/>
      <c r="DG24" s="492"/>
      <c r="DH24" s="492"/>
      <c r="DI24" s="492"/>
      <c r="DJ24" s="492"/>
      <c r="DK24" s="492"/>
      <c r="DL24" s="492"/>
      <c r="DM24" s="492"/>
      <c r="DN24" s="492"/>
      <c r="DO24" s="492"/>
      <c r="DP24" s="492"/>
      <c r="DQ24" s="492"/>
      <c r="DR24" s="492"/>
      <c r="DS24" s="492"/>
      <c r="DT24" s="492"/>
      <c r="DU24" s="492"/>
      <c r="DV24" s="492"/>
      <c r="DW24" s="492"/>
      <c r="DX24" s="492"/>
      <c r="DY24" s="492"/>
      <c r="DZ24" s="492"/>
      <c r="EA24" s="492"/>
      <c r="EB24" s="492"/>
      <c r="EC24" s="492"/>
      <c r="ED24" s="492"/>
      <c r="EE24" s="492"/>
      <c r="EF24" s="492"/>
      <c r="EG24" s="492"/>
      <c r="EH24" s="492"/>
      <c r="EI24" s="492"/>
      <c r="EJ24" s="492"/>
      <c r="EK24" s="492"/>
      <c r="EL24" s="492"/>
      <c r="EM24" s="492"/>
      <c r="EN24" s="492"/>
      <c r="EO24" s="492"/>
      <c r="EP24" s="492"/>
      <c r="EQ24" s="492"/>
      <c r="ER24" s="492"/>
      <c r="ES24" s="492"/>
      <c r="ET24" s="492"/>
      <c r="EU24" s="492"/>
      <c r="EV24" s="492"/>
      <c r="EW24" s="492"/>
      <c r="EX24" s="492"/>
      <c r="EY24" s="492"/>
      <c r="EZ24" s="492"/>
      <c r="FA24" s="492"/>
      <c r="FB24" s="492"/>
      <c r="FC24" s="492"/>
      <c r="FD24" s="492"/>
      <c r="FE24" s="492"/>
      <c r="FF24" s="492"/>
      <c r="FG24" s="492"/>
      <c r="FH24" s="492"/>
      <c r="FI24" s="492"/>
      <c r="FJ24" s="492"/>
      <c r="FK24" s="492"/>
      <c r="FL24" s="492"/>
      <c r="FM24" s="492"/>
      <c r="FN24" s="492"/>
      <c r="FO24" s="492"/>
      <c r="FP24" s="492"/>
      <c r="FQ24" s="492"/>
      <c r="FR24" s="492"/>
      <c r="FS24" s="492"/>
      <c r="FT24" s="492"/>
      <c r="FU24" s="492"/>
      <c r="FV24" s="492"/>
      <c r="FW24" s="492"/>
      <c r="FX24" s="492"/>
      <c r="FY24" s="492"/>
      <c r="FZ24" s="492"/>
      <c r="GA24" s="492"/>
      <c r="GB24" s="492"/>
      <c r="GC24" s="492"/>
      <c r="GD24" s="492"/>
    </row>
    <row r="25" spans="1:186" s="133" customFormat="1" ht="18" customHeight="1" thickBot="1">
      <c r="A25" s="104"/>
      <c r="B25" s="611"/>
      <c r="C25" s="612"/>
      <c r="D25" s="612"/>
      <c r="E25" s="612"/>
      <c r="F25" s="614"/>
      <c r="G25" s="142"/>
      <c r="H25" s="636"/>
      <c r="I25" s="637"/>
      <c r="J25" s="637"/>
      <c r="K25" s="637"/>
      <c r="L25" s="639"/>
      <c r="M25" s="143" t="str">
        <f>IF(L24&lt;20%,"min 20%","")</f>
        <v/>
      </c>
      <c r="N25" s="84"/>
      <c r="O25" s="492"/>
      <c r="P25" s="492"/>
      <c r="Q25" s="492"/>
      <c r="R25" s="492"/>
      <c r="S25" s="492"/>
      <c r="T25" s="492"/>
      <c r="U25" s="492"/>
      <c r="V25" s="492"/>
      <c r="W25" s="492"/>
      <c r="X25" s="492"/>
      <c r="Y25" s="492"/>
      <c r="Z25" s="492"/>
      <c r="AA25" s="492"/>
      <c r="AB25" s="492"/>
      <c r="AC25" s="492"/>
      <c r="AD25" s="492"/>
      <c r="AE25" s="492"/>
      <c r="AF25" s="492"/>
      <c r="AG25" s="492"/>
      <c r="AH25" s="492"/>
      <c r="AI25" s="492"/>
      <c r="AJ25" s="492"/>
      <c r="AK25" s="492"/>
      <c r="AL25" s="497"/>
      <c r="AM25" s="498"/>
      <c r="AN25" s="497"/>
      <c r="AO25" s="492"/>
      <c r="AP25" s="492"/>
      <c r="AQ25" s="492"/>
      <c r="AR25" s="492"/>
      <c r="AS25" s="492"/>
      <c r="AT25" s="492"/>
      <c r="AU25" s="492"/>
      <c r="AV25" s="492"/>
      <c r="AW25" s="492"/>
      <c r="AX25" s="492"/>
      <c r="AY25" s="492"/>
      <c r="AZ25" s="492"/>
      <c r="BA25" s="492"/>
      <c r="BB25" s="492"/>
      <c r="BC25" s="492"/>
      <c r="BD25" s="492"/>
      <c r="BE25" s="492"/>
      <c r="BF25" s="492"/>
      <c r="BG25" s="492"/>
      <c r="BH25" s="492"/>
      <c r="BI25" s="492"/>
      <c r="BJ25" s="492"/>
      <c r="BK25" s="492"/>
      <c r="BL25" s="492"/>
      <c r="BM25" s="492"/>
      <c r="BN25" s="492"/>
      <c r="BO25" s="492"/>
      <c r="BP25" s="492"/>
      <c r="BQ25" s="492"/>
      <c r="BR25" s="492"/>
      <c r="BS25" s="492"/>
      <c r="BT25" s="492"/>
      <c r="BU25" s="492"/>
      <c r="BV25" s="492"/>
      <c r="BW25" s="492"/>
      <c r="BX25" s="492"/>
      <c r="BY25" s="492"/>
      <c r="BZ25" s="492"/>
      <c r="CA25" s="492"/>
      <c r="CB25" s="492"/>
      <c r="CC25" s="492"/>
      <c r="CD25" s="492"/>
      <c r="CE25" s="492"/>
      <c r="CF25" s="492"/>
      <c r="CG25" s="492"/>
      <c r="CH25" s="492"/>
      <c r="CI25" s="492"/>
      <c r="CJ25" s="492"/>
      <c r="CK25" s="492"/>
      <c r="CL25" s="492"/>
      <c r="CM25" s="492"/>
      <c r="CN25" s="492"/>
      <c r="CO25" s="492"/>
      <c r="CP25" s="492"/>
      <c r="CQ25" s="492"/>
      <c r="CR25" s="492"/>
      <c r="CS25" s="492"/>
      <c r="CT25" s="492"/>
      <c r="CU25" s="492"/>
      <c r="CV25" s="492"/>
      <c r="CW25" s="492"/>
      <c r="CX25" s="492"/>
      <c r="CY25" s="492"/>
      <c r="CZ25" s="492"/>
      <c r="DA25" s="492"/>
      <c r="DB25" s="492"/>
      <c r="DC25" s="492"/>
      <c r="DD25" s="492"/>
      <c r="DE25" s="492"/>
      <c r="DF25" s="492"/>
      <c r="DG25" s="492"/>
      <c r="DH25" s="492"/>
      <c r="DI25" s="492"/>
      <c r="DJ25" s="492"/>
      <c r="DK25" s="492"/>
      <c r="DL25" s="492"/>
      <c r="DM25" s="492"/>
      <c r="DN25" s="492"/>
      <c r="DO25" s="492"/>
      <c r="DP25" s="492"/>
      <c r="DQ25" s="492"/>
      <c r="DR25" s="492"/>
      <c r="DS25" s="492"/>
      <c r="DT25" s="492"/>
      <c r="DU25" s="492"/>
      <c r="DV25" s="492"/>
      <c r="DW25" s="492"/>
      <c r="DX25" s="492"/>
      <c r="DY25" s="492"/>
      <c r="DZ25" s="492"/>
      <c r="EA25" s="492"/>
      <c r="EB25" s="492"/>
      <c r="EC25" s="492"/>
      <c r="ED25" s="492"/>
      <c r="EE25" s="492"/>
      <c r="EF25" s="492"/>
      <c r="EG25" s="492"/>
      <c r="EH25" s="492"/>
      <c r="EI25" s="492"/>
      <c r="EJ25" s="492"/>
      <c r="EK25" s="492"/>
      <c r="EL25" s="492"/>
      <c r="EM25" s="492"/>
      <c r="EN25" s="492"/>
      <c r="EO25" s="492"/>
      <c r="EP25" s="492"/>
      <c r="EQ25" s="492"/>
      <c r="ER25" s="492"/>
      <c r="ES25" s="492"/>
      <c r="ET25" s="492"/>
      <c r="EU25" s="492"/>
      <c r="EV25" s="492"/>
      <c r="EW25" s="492"/>
      <c r="EX25" s="492"/>
      <c r="EY25" s="492"/>
      <c r="EZ25" s="492"/>
      <c r="FA25" s="492"/>
      <c r="FB25" s="492"/>
      <c r="FC25" s="492"/>
      <c r="FD25" s="492"/>
      <c r="FE25" s="492"/>
      <c r="FF25" s="492"/>
      <c r="FG25" s="492"/>
      <c r="FH25" s="492"/>
      <c r="FI25" s="492"/>
      <c r="FJ25" s="492"/>
      <c r="FK25" s="492"/>
      <c r="FL25" s="492"/>
      <c r="FM25" s="492"/>
      <c r="FN25" s="492"/>
      <c r="FO25" s="492"/>
      <c r="FP25" s="492"/>
      <c r="FQ25" s="492"/>
      <c r="FR25" s="492"/>
      <c r="FS25" s="492"/>
      <c r="FT25" s="492"/>
      <c r="FU25" s="492"/>
      <c r="FV25" s="492"/>
      <c r="FW25" s="492"/>
      <c r="FX25" s="492"/>
      <c r="FY25" s="492"/>
      <c r="FZ25" s="492"/>
      <c r="GA25" s="492"/>
      <c r="GB25" s="492"/>
      <c r="GC25" s="492"/>
      <c r="GD25" s="492"/>
    </row>
    <row r="26" spans="1:186" s="150" customFormat="1" ht="102" customHeight="1" thickBot="1">
      <c r="A26" s="144" t="s">
        <v>78</v>
      </c>
      <c r="B26" s="145" t="s">
        <v>79</v>
      </c>
      <c r="C26" s="146" t="s">
        <v>80</v>
      </c>
      <c r="D26" s="145" t="s">
        <v>81</v>
      </c>
      <c r="E26" s="147" t="s">
        <v>82</v>
      </c>
      <c r="F26" s="148" t="s">
        <v>83</v>
      </c>
      <c r="G26" s="146" t="s">
        <v>84</v>
      </c>
      <c r="H26" s="148" t="s">
        <v>79</v>
      </c>
      <c r="I26" s="146" t="s">
        <v>85</v>
      </c>
      <c r="J26" s="145" t="s">
        <v>81</v>
      </c>
      <c r="K26" s="147" t="s">
        <v>82</v>
      </c>
      <c r="L26" s="148" t="s">
        <v>83</v>
      </c>
      <c r="M26" s="146" t="s">
        <v>84</v>
      </c>
      <c r="N26" s="149" t="s">
        <v>86</v>
      </c>
      <c r="O26" s="510" t="s">
        <v>87</v>
      </c>
      <c r="P26" s="510" t="s">
        <v>88</v>
      </c>
      <c r="Q26" s="511" t="s">
        <v>83</v>
      </c>
      <c r="R26" s="512" t="s">
        <v>82</v>
      </c>
      <c r="S26" s="510" t="s">
        <v>89</v>
      </c>
      <c r="T26" s="499"/>
      <c r="U26" s="510" t="s">
        <v>90</v>
      </c>
      <c r="V26" s="510" t="s">
        <v>91</v>
      </c>
      <c r="W26" s="510" t="s">
        <v>92</v>
      </c>
      <c r="X26" s="510" t="s">
        <v>93</v>
      </c>
      <c r="Y26" s="510" t="s">
        <v>94</v>
      </c>
      <c r="Z26" s="510" t="s">
        <v>95</v>
      </c>
      <c r="AA26" s="510" t="s">
        <v>96</v>
      </c>
      <c r="AB26" s="510" t="s">
        <v>97</v>
      </c>
      <c r="AC26" s="510" t="s">
        <v>98</v>
      </c>
      <c r="AD26" s="510" t="s">
        <v>229</v>
      </c>
      <c r="AE26" s="499"/>
      <c r="AF26" s="499"/>
      <c r="AG26" s="499"/>
      <c r="AH26" s="499"/>
      <c r="AI26" s="499"/>
      <c r="AJ26" s="499"/>
      <c r="AK26" s="500"/>
      <c r="AL26" s="501"/>
      <c r="AM26" s="500"/>
      <c r="AN26" s="499"/>
      <c r="AO26" s="499"/>
      <c r="AP26" s="499"/>
      <c r="AQ26" s="499"/>
      <c r="AR26" s="499"/>
      <c r="AS26" s="499"/>
      <c r="AT26" s="499"/>
      <c r="AU26" s="499"/>
      <c r="AV26" s="499"/>
      <c r="AW26" s="499"/>
      <c r="AX26" s="499"/>
      <c r="AY26" s="499"/>
      <c r="AZ26" s="499"/>
      <c r="BA26" s="499"/>
      <c r="BB26" s="499"/>
      <c r="BC26" s="499"/>
      <c r="BD26" s="499"/>
      <c r="BE26" s="499"/>
      <c r="BF26" s="499"/>
      <c r="BG26" s="499"/>
      <c r="BH26" s="499"/>
      <c r="BI26" s="499"/>
      <c r="BJ26" s="499"/>
      <c r="BK26" s="499"/>
      <c r="BL26" s="499"/>
      <c r="BM26" s="499"/>
      <c r="BN26" s="499"/>
      <c r="BO26" s="499"/>
      <c r="BP26" s="499"/>
      <c r="BQ26" s="499"/>
      <c r="BR26" s="499"/>
      <c r="BS26" s="499"/>
      <c r="BT26" s="499"/>
      <c r="BU26" s="499"/>
      <c r="BV26" s="499"/>
      <c r="BW26" s="499"/>
      <c r="BX26" s="499"/>
      <c r="BY26" s="499"/>
      <c r="BZ26" s="499"/>
      <c r="CA26" s="499"/>
      <c r="CB26" s="499"/>
      <c r="CC26" s="499"/>
      <c r="CD26" s="499"/>
      <c r="CE26" s="499"/>
      <c r="CF26" s="499"/>
      <c r="CG26" s="499"/>
      <c r="CH26" s="499"/>
      <c r="CI26" s="499"/>
      <c r="CJ26" s="499"/>
      <c r="CK26" s="499"/>
      <c r="CL26" s="499"/>
      <c r="CM26" s="499"/>
      <c r="CN26" s="499"/>
      <c r="CO26" s="499"/>
      <c r="CP26" s="499"/>
      <c r="CQ26" s="499"/>
      <c r="CR26" s="499"/>
      <c r="CS26" s="499"/>
      <c r="CT26" s="499"/>
      <c r="CU26" s="499"/>
      <c r="CV26" s="499"/>
      <c r="CW26" s="499"/>
      <c r="CX26" s="499"/>
      <c r="CY26" s="499"/>
      <c r="CZ26" s="499"/>
      <c r="DA26" s="499"/>
      <c r="DB26" s="499"/>
      <c r="DC26" s="499"/>
      <c r="DD26" s="499"/>
      <c r="DE26" s="499"/>
      <c r="DF26" s="499"/>
      <c r="DG26" s="499"/>
      <c r="DH26" s="499"/>
      <c r="DI26" s="499"/>
      <c r="DJ26" s="499"/>
      <c r="DK26" s="499"/>
      <c r="DL26" s="499"/>
      <c r="DM26" s="499"/>
      <c r="DN26" s="499"/>
      <c r="DO26" s="499"/>
      <c r="DP26" s="499"/>
      <c r="DQ26" s="499"/>
      <c r="DR26" s="499"/>
      <c r="DS26" s="499"/>
      <c r="DT26" s="499"/>
      <c r="DU26" s="499"/>
      <c r="DV26" s="499"/>
      <c r="DW26" s="499"/>
      <c r="DX26" s="499"/>
      <c r="DY26" s="499"/>
      <c r="DZ26" s="499"/>
      <c r="EA26" s="499"/>
      <c r="EB26" s="499"/>
      <c r="EC26" s="499"/>
      <c r="ED26" s="499"/>
      <c r="EE26" s="499"/>
      <c r="EF26" s="499"/>
      <c r="EG26" s="499"/>
      <c r="EH26" s="499"/>
      <c r="EI26" s="499"/>
      <c r="EJ26" s="499"/>
      <c r="EK26" s="499"/>
      <c r="EL26" s="499"/>
      <c r="EM26" s="499"/>
      <c r="EN26" s="499"/>
      <c r="EO26" s="499"/>
      <c r="EP26" s="499"/>
      <c r="EQ26" s="499"/>
      <c r="ER26" s="499"/>
      <c r="ES26" s="499"/>
      <c r="ET26" s="499"/>
      <c r="EU26" s="499"/>
      <c r="EV26" s="499"/>
      <c r="EW26" s="499"/>
      <c r="EX26" s="499"/>
      <c r="EY26" s="499"/>
      <c r="EZ26" s="499"/>
      <c r="FA26" s="499"/>
      <c r="FB26" s="499"/>
      <c r="FC26" s="499"/>
      <c r="FD26" s="499"/>
      <c r="FE26" s="499"/>
      <c r="FF26" s="499"/>
      <c r="FG26" s="499"/>
      <c r="FH26" s="499"/>
      <c r="FI26" s="499"/>
      <c r="FJ26" s="499"/>
      <c r="FK26" s="499"/>
      <c r="FL26" s="499"/>
      <c r="FM26" s="499"/>
      <c r="FN26" s="499"/>
      <c r="FO26" s="499"/>
      <c r="FP26" s="499"/>
      <c r="FQ26" s="499"/>
      <c r="FR26" s="499"/>
      <c r="FS26" s="499"/>
      <c r="FT26" s="499"/>
      <c r="FU26" s="499"/>
      <c r="FV26" s="499"/>
      <c r="FW26" s="499"/>
      <c r="FX26" s="499"/>
      <c r="FY26" s="499"/>
      <c r="FZ26" s="499"/>
      <c r="GA26" s="499"/>
      <c r="GB26" s="499"/>
      <c r="GC26" s="499"/>
      <c r="GD26" s="499"/>
    </row>
    <row r="27" spans="1:186" s="101" customFormat="1" ht="18" customHeight="1">
      <c r="A27" s="551" t="str">
        <f>RESUM!B9</f>
        <v>A41</v>
      </c>
      <c r="B27" s="151">
        <f>RESUM!B11</f>
        <v>540</v>
      </c>
      <c r="C27" s="415">
        <f>RESUM!B15</f>
        <v>57</v>
      </c>
      <c r="D27" s="417">
        <f t="shared" ref="D27:D33" si="0">E27*$B27*PI()/30000</f>
        <v>29.00946656324815</v>
      </c>
      <c r="E27" s="152">
        <f>(F27*120/$F$9-$S27)</f>
        <v>513</v>
      </c>
      <c r="F27" s="153">
        <f t="shared" ref="F27:F40" si="1">$Q27*$F$21/400</f>
        <v>18</v>
      </c>
      <c r="G27" s="154">
        <f t="shared" ref="G27:G33" si="2">IF(AC27&lt;$L$13,AC27,$L$13)</f>
        <v>1794.9109284892515</v>
      </c>
      <c r="H27" s="152">
        <f t="shared" ref="H27:H40" si="3">IF(U27&lt;X27*0.95,U27,X27*0.95)</f>
        <v>803.4367021421117</v>
      </c>
      <c r="I27" s="415">
        <f>MIN(V27:W27)</f>
        <v>81.805348235919141</v>
      </c>
      <c r="J27" s="419">
        <f t="shared" ref="J27:J40" si="4">MIN(Z27,H27*E27*PI()/30000)</f>
        <v>43.16161138236658</v>
      </c>
      <c r="K27" s="155">
        <f>MIN(E27,M27)</f>
        <v>513</v>
      </c>
      <c r="L27" s="156">
        <f t="shared" ref="L27:L40" si="5">(K27+S27*H27/B27)*$F$9/120</f>
        <v>18.439061170236855</v>
      </c>
      <c r="M27" s="154">
        <f>MIN($L$13,MAX(AB27,AA27))</f>
        <v>1099.0272189138736</v>
      </c>
      <c r="N27" s="420">
        <f>RESUM!B32</f>
        <v>20.3</v>
      </c>
      <c r="O27" s="513">
        <f>'driving mode parameters'!B18</f>
        <v>0.87493188281486434</v>
      </c>
      <c r="P27" s="513">
        <f>'driving mode parameters'!B17</f>
        <v>0.83959535244219374</v>
      </c>
      <c r="Q27" s="514">
        <f>RESUM!B16</f>
        <v>18</v>
      </c>
      <c r="R27" s="515">
        <f>RESUM!B12</f>
        <v>513</v>
      </c>
      <c r="S27" s="514">
        <f>Q27*120/$F$9-R27</f>
        <v>27</v>
      </c>
      <c r="T27" s="494"/>
      <c r="U27" s="515">
        <f t="shared" ref="U27:U40" si="6">B27/((C27^2-N27^2)^0.5)*(V27^2-N27^2)^0.5</f>
        <v>803.4367021421117</v>
      </c>
      <c r="V27" s="515">
        <f t="shared" ref="V27:V40" si="7">IF(AND($L$24&gt;=20%,$L$24&lt;=80%)=TRUE,((C27^2*0.9-N27^2*(1-$L$24))/$L$24)^0.5,0)</f>
        <v>81.805348235919141</v>
      </c>
      <c r="W27" s="515">
        <f>(((V27^2-N27^2)^0.5*X27/U27)^2+N27^2)^0.5</f>
        <v>202.67101902674602</v>
      </c>
      <c r="X27" s="515">
        <f>X28</f>
        <v>2044.434035729915</v>
      </c>
      <c r="Y27" s="515">
        <f t="shared" ref="Y27:Y30" si="8">Y$32*F27/F$32*(B$32/B27)^0.5</f>
        <v>440.62024636820308</v>
      </c>
      <c r="Z27" s="515">
        <f t="shared" ref="Z27:Z40" si="9">X27*Y27*PI()/30000</f>
        <v>94.333548072367648</v>
      </c>
      <c r="AA27" s="515">
        <f>AC27*(D27/J27)^(1/AD27)</f>
        <v>1099.0272189138736</v>
      </c>
      <c r="AB27" s="515">
        <f t="shared" ref="AB27:AB33" si="10">AC27*(B27*E27/AC27/H27)^(1/(1+AD27))</f>
        <v>721.43248697390572</v>
      </c>
      <c r="AC27" s="516">
        <f>0.95*Y27*(Z27/D27)^(1/AD27)</f>
        <v>1794.9109284892515</v>
      </c>
      <c r="AD27" s="494">
        <f>'limit 480V'!Z25</f>
        <v>0.81</v>
      </c>
      <c r="AE27" s="494"/>
      <c r="AF27" s="494"/>
      <c r="AG27" s="494"/>
      <c r="AH27" s="494"/>
      <c r="AI27" s="494"/>
      <c r="AJ27" s="494"/>
      <c r="AK27" s="495"/>
      <c r="AL27" s="495"/>
      <c r="AM27" s="495"/>
      <c r="AN27" s="496"/>
      <c r="AO27" s="495"/>
      <c r="AP27" s="494"/>
      <c r="AQ27" s="494"/>
      <c r="AR27" s="494"/>
      <c r="AS27" s="494"/>
      <c r="AT27" s="494"/>
      <c r="AU27" s="494"/>
      <c r="AV27" s="494"/>
      <c r="AW27" s="494"/>
      <c r="AX27" s="494"/>
      <c r="AY27" s="494"/>
      <c r="AZ27" s="494"/>
      <c r="BA27" s="494"/>
      <c r="BB27" s="494"/>
      <c r="BC27" s="494"/>
      <c r="BD27" s="494"/>
      <c r="BE27" s="494"/>
      <c r="BF27" s="494"/>
      <c r="BG27" s="494"/>
      <c r="BH27" s="494"/>
      <c r="BI27" s="494"/>
      <c r="BJ27" s="494"/>
      <c r="BK27" s="494"/>
      <c r="BL27" s="494"/>
      <c r="BM27" s="494"/>
      <c r="BN27" s="494"/>
      <c r="BO27" s="494"/>
      <c r="BP27" s="494"/>
      <c r="BQ27" s="494"/>
      <c r="BR27" s="494"/>
      <c r="BS27" s="494"/>
      <c r="BT27" s="494"/>
      <c r="BU27" s="494"/>
      <c r="BV27" s="494"/>
      <c r="BW27" s="494"/>
      <c r="BX27" s="494"/>
      <c r="BY27" s="494"/>
      <c r="BZ27" s="494"/>
      <c r="CA27" s="494"/>
      <c r="CB27" s="494"/>
      <c r="CC27" s="494"/>
      <c r="CD27" s="494"/>
      <c r="CE27" s="494"/>
      <c r="CF27" s="494"/>
      <c r="CG27" s="494"/>
      <c r="CH27" s="494"/>
      <c r="CI27" s="494"/>
      <c r="CJ27" s="494"/>
      <c r="CK27" s="494"/>
      <c r="CL27" s="494"/>
      <c r="CM27" s="494"/>
      <c r="CN27" s="494"/>
      <c r="CO27" s="494"/>
      <c r="CP27" s="494"/>
      <c r="CQ27" s="494"/>
      <c r="CR27" s="494"/>
      <c r="CS27" s="494"/>
      <c r="CT27" s="494"/>
      <c r="CU27" s="494"/>
      <c r="CV27" s="494"/>
      <c r="CW27" s="494"/>
      <c r="CX27" s="494"/>
      <c r="CY27" s="494"/>
      <c r="CZ27" s="494"/>
      <c r="DA27" s="494"/>
      <c r="DB27" s="494"/>
      <c r="DC27" s="494"/>
      <c r="DD27" s="494"/>
      <c r="DE27" s="494"/>
      <c r="DF27" s="494"/>
      <c r="DG27" s="494"/>
      <c r="DH27" s="494"/>
      <c r="DI27" s="494"/>
      <c r="DJ27" s="494"/>
      <c r="DK27" s="494"/>
      <c r="DL27" s="494"/>
      <c r="DM27" s="494"/>
      <c r="DN27" s="494"/>
      <c r="DO27" s="494"/>
      <c r="DP27" s="494"/>
      <c r="DQ27" s="494"/>
      <c r="DR27" s="494"/>
      <c r="DS27" s="494"/>
      <c r="DT27" s="494"/>
      <c r="DU27" s="494"/>
      <c r="DV27" s="494"/>
      <c r="DW27" s="494"/>
      <c r="DX27" s="494"/>
      <c r="DY27" s="494"/>
      <c r="DZ27" s="494"/>
      <c r="EA27" s="494"/>
      <c r="EB27" s="494"/>
      <c r="EC27" s="494"/>
      <c r="ED27" s="494"/>
      <c r="EE27" s="494"/>
      <c r="EF27" s="494"/>
      <c r="EG27" s="494"/>
      <c r="EH27" s="494"/>
      <c r="EI27" s="494"/>
      <c r="EJ27" s="494"/>
      <c r="EK27" s="494"/>
      <c r="EL27" s="494"/>
      <c r="EM27" s="494"/>
      <c r="EN27" s="494"/>
      <c r="EO27" s="494"/>
      <c r="EP27" s="494"/>
      <c r="EQ27" s="494"/>
      <c r="ER27" s="494"/>
      <c r="ES27" s="494"/>
      <c r="ET27" s="494"/>
      <c r="EU27" s="494"/>
      <c r="EV27" s="494"/>
      <c r="EW27" s="494"/>
      <c r="EX27" s="494"/>
      <c r="EY27" s="494"/>
      <c r="EZ27" s="494"/>
      <c r="FA27" s="494"/>
      <c r="FB27" s="494"/>
      <c r="FC27" s="494"/>
      <c r="FD27" s="494"/>
      <c r="FE27" s="494"/>
      <c r="FF27" s="494"/>
      <c r="FG27" s="494"/>
      <c r="FH27" s="494"/>
      <c r="FI27" s="494"/>
      <c r="FJ27" s="494"/>
      <c r="FK27" s="494"/>
      <c r="FL27" s="494"/>
      <c r="FM27" s="494"/>
      <c r="FN27" s="494"/>
      <c r="FO27" s="494"/>
      <c r="FP27" s="494"/>
      <c r="FQ27" s="494"/>
      <c r="FR27" s="494"/>
      <c r="FS27" s="494"/>
      <c r="FT27" s="494"/>
      <c r="FU27" s="494"/>
      <c r="FV27" s="494"/>
      <c r="FW27" s="494"/>
      <c r="FX27" s="494"/>
      <c r="FY27" s="494"/>
      <c r="FZ27" s="494"/>
      <c r="GA27" s="494"/>
      <c r="GB27" s="494"/>
      <c r="GC27" s="494"/>
      <c r="GD27" s="494"/>
    </row>
    <row r="28" spans="1:186" s="101" customFormat="1" ht="18" customHeight="1">
      <c r="A28" s="551" t="str">
        <f>RESUM!C9</f>
        <v>B41</v>
      </c>
      <c r="B28" s="151">
        <f>RESUM!C11</f>
        <v>540</v>
      </c>
      <c r="C28" s="415">
        <f>RESUM!C15</f>
        <v>75.2</v>
      </c>
      <c r="D28" s="417">
        <f t="shared" si="0"/>
        <v>39.188226760879083</v>
      </c>
      <c r="E28" s="152">
        <f t="shared" ref="E28:E40" si="11">(F28*120/$F$9-$S28)</f>
        <v>693</v>
      </c>
      <c r="F28" s="153">
        <f t="shared" si="1"/>
        <v>24</v>
      </c>
      <c r="G28" s="154">
        <f t="shared" si="2"/>
        <v>2354.9019666298059</v>
      </c>
      <c r="H28" s="152">
        <f t="shared" si="3"/>
        <v>803.53858853280769</v>
      </c>
      <c r="I28" s="415">
        <f t="shared" ref="I28:I40" si="12">MIN(V28:W28)</f>
        <v>107.99305533227589</v>
      </c>
      <c r="J28" s="417">
        <f t="shared" si="4"/>
        <v>58.313430404704405</v>
      </c>
      <c r="K28" s="152">
        <f t="shared" ref="K28:K36" si="13">IF(E28&lt;M28,E28,M28)</f>
        <v>693</v>
      </c>
      <c r="L28" s="153">
        <f t="shared" si="5"/>
        <v>24.439230980888013</v>
      </c>
      <c r="M28" s="154">
        <f t="shared" ref="M28:M40" si="14">MIN($L$13,MAX(AB28,AA28))</f>
        <v>1441.6850349581737</v>
      </c>
      <c r="N28" s="421">
        <f>RESUM!C32</f>
        <v>26.6</v>
      </c>
      <c r="O28" s="513">
        <f>'driving mode parameters'!C18</f>
        <v>0.89883813932880097</v>
      </c>
      <c r="P28" s="513">
        <f>'driving mode parameters'!C17</f>
        <v>0.83682695557817899</v>
      </c>
      <c r="Q28" s="514">
        <f>RESUM!C16</f>
        <v>24</v>
      </c>
      <c r="R28" s="515">
        <f>RESUM!C12</f>
        <v>693</v>
      </c>
      <c r="S28" s="514">
        <f t="shared" ref="S28:S40" si="15">Q28*120/$F$9-R28</f>
        <v>27</v>
      </c>
      <c r="T28" s="494"/>
      <c r="U28" s="515">
        <f t="shared" si="6"/>
        <v>803.53858853280769</v>
      </c>
      <c r="V28" s="515">
        <f t="shared" si="7"/>
        <v>107.99305533227589</v>
      </c>
      <c r="W28" s="515">
        <f t="shared" ref="W28:W40" si="16">(((V28^2-N28^2)^0.5*X28/U28)^2+N28^2)^0.5</f>
        <v>267.62532627808298</v>
      </c>
      <c r="X28" s="515">
        <f>X29</f>
        <v>2044.434035729915</v>
      </c>
      <c r="Y28" s="515">
        <f t="shared" si="8"/>
        <v>587.49366182427082</v>
      </c>
      <c r="Z28" s="515">
        <f t="shared" si="9"/>
        <v>125.77806409649021</v>
      </c>
      <c r="AA28" s="515">
        <f t="shared" ref="AA28:AA40" si="17">AC28*(D28/J28)^(1/AD28)</f>
        <v>1441.6850349581737</v>
      </c>
      <c r="AB28" s="515">
        <f t="shared" si="10"/>
        <v>961.84259539964523</v>
      </c>
      <c r="AC28" s="516">
        <f t="shared" ref="AC28:AC40" si="18">0.95*Y28*(Z28/D28)^(1/AD28)</f>
        <v>2354.9019666298059</v>
      </c>
      <c r="AD28" s="494">
        <f>AD27</f>
        <v>0.81</v>
      </c>
      <c r="AE28" s="494"/>
      <c r="AF28" s="494"/>
      <c r="AG28" s="494"/>
      <c r="AH28" s="494"/>
      <c r="AI28" s="494"/>
      <c r="AJ28" s="494"/>
      <c r="AK28" s="495"/>
      <c r="AL28" s="495"/>
      <c r="AM28" s="495"/>
      <c r="AN28" s="496"/>
      <c r="AO28" s="495"/>
      <c r="AP28" s="494"/>
      <c r="AQ28" s="494"/>
      <c r="AR28" s="494"/>
      <c r="AS28" s="494"/>
      <c r="AT28" s="494"/>
      <c r="AU28" s="494"/>
      <c r="AV28" s="494"/>
      <c r="AW28" s="494"/>
      <c r="AX28" s="494"/>
      <c r="AY28" s="494"/>
      <c r="AZ28" s="494"/>
      <c r="BA28" s="494"/>
      <c r="BB28" s="494"/>
      <c r="BC28" s="494"/>
      <c r="BD28" s="494"/>
      <c r="BE28" s="494"/>
      <c r="BF28" s="494"/>
      <c r="BG28" s="494"/>
      <c r="BH28" s="494"/>
      <c r="BI28" s="494"/>
      <c r="BJ28" s="494"/>
      <c r="BK28" s="494"/>
      <c r="BL28" s="494"/>
      <c r="BM28" s="494"/>
      <c r="BN28" s="494"/>
      <c r="BO28" s="494"/>
      <c r="BP28" s="494"/>
      <c r="BQ28" s="494"/>
      <c r="BR28" s="494"/>
      <c r="BS28" s="494"/>
      <c r="BT28" s="494"/>
      <c r="BU28" s="494"/>
      <c r="BV28" s="494"/>
      <c r="BW28" s="494"/>
      <c r="BX28" s="494"/>
      <c r="BY28" s="494"/>
      <c r="BZ28" s="494"/>
      <c r="CA28" s="494"/>
      <c r="CB28" s="494"/>
      <c r="CC28" s="494"/>
      <c r="CD28" s="494"/>
      <c r="CE28" s="494"/>
      <c r="CF28" s="494"/>
      <c r="CG28" s="494"/>
      <c r="CH28" s="494"/>
      <c r="CI28" s="494"/>
      <c r="CJ28" s="494"/>
      <c r="CK28" s="494"/>
      <c r="CL28" s="494"/>
      <c r="CM28" s="494"/>
      <c r="CN28" s="494"/>
      <c r="CO28" s="494"/>
      <c r="CP28" s="494"/>
      <c r="CQ28" s="494"/>
      <c r="CR28" s="494"/>
      <c r="CS28" s="494"/>
      <c r="CT28" s="494"/>
      <c r="CU28" s="494"/>
      <c r="CV28" s="494"/>
      <c r="CW28" s="494"/>
      <c r="CX28" s="494"/>
      <c r="CY28" s="494"/>
      <c r="CZ28" s="494"/>
      <c r="DA28" s="494"/>
      <c r="DB28" s="494"/>
      <c r="DC28" s="494"/>
      <c r="DD28" s="494"/>
      <c r="DE28" s="494"/>
      <c r="DF28" s="494"/>
      <c r="DG28" s="494"/>
      <c r="DH28" s="494"/>
      <c r="DI28" s="494"/>
      <c r="DJ28" s="494"/>
      <c r="DK28" s="494"/>
      <c r="DL28" s="494"/>
      <c r="DM28" s="494"/>
      <c r="DN28" s="494"/>
      <c r="DO28" s="494"/>
      <c r="DP28" s="494"/>
      <c r="DQ28" s="494"/>
      <c r="DR28" s="494"/>
      <c r="DS28" s="494"/>
      <c r="DT28" s="494"/>
      <c r="DU28" s="494"/>
      <c r="DV28" s="494"/>
      <c r="DW28" s="494"/>
      <c r="DX28" s="494"/>
      <c r="DY28" s="494"/>
      <c r="DZ28" s="494"/>
      <c r="EA28" s="494"/>
      <c r="EB28" s="494"/>
      <c r="EC28" s="494"/>
      <c r="ED28" s="494"/>
      <c r="EE28" s="494"/>
      <c r="EF28" s="494"/>
      <c r="EG28" s="494"/>
      <c r="EH28" s="494"/>
      <c r="EI28" s="494"/>
      <c r="EJ28" s="494"/>
      <c r="EK28" s="494"/>
      <c r="EL28" s="494"/>
      <c r="EM28" s="494"/>
      <c r="EN28" s="494"/>
      <c r="EO28" s="494"/>
      <c r="EP28" s="494"/>
      <c r="EQ28" s="494"/>
      <c r="ER28" s="494"/>
      <c r="ES28" s="494"/>
      <c r="ET28" s="494"/>
      <c r="EU28" s="494"/>
      <c r="EV28" s="494"/>
      <c r="EW28" s="494"/>
      <c r="EX28" s="494"/>
      <c r="EY28" s="494"/>
      <c r="EZ28" s="494"/>
      <c r="FA28" s="494"/>
      <c r="FB28" s="494"/>
      <c r="FC28" s="494"/>
      <c r="FD28" s="494"/>
      <c r="FE28" s="494"/>
      <c r="FF28" s="494"/>
      <c r="FG28" s="494"/>
      <c r="FH28" s="494"/>
      <c r="FI28" s="494"/>
      <c r="FJ28" s="494"/>
      <c r="FK28" s="494"/>
      <c r="FL28" s="494"/>
      <c r="FM28" s="494"/>
      <c r="FN28" s="494"/>
      <c r="FO28" s="494"/>
      <c r="FP28" s="494"/>
      <c r="FQ28" s="494"/>
      <c r="FR28" s="494"/>
      <c r="FS28" s="494"/>
      <c r="FT28" s="494"/>
      <c r="FU28" s="494"/>
      <c r="FV28" s="494"/>
      <c r="FW28" s="494"/>
      <c r="FX28" s="494"/>
      <c r="FY28" s="494"/>
      <c r="FZ28" s="494"/>
      <c r="GA28" s="494"/>
      <c r="GB28" s="494"/>
      <c r="GC28" s="494"/>
      <c r="GD28" s="494"/>
    </row>
    <row r="29" spans="1:186" s="101" customFormat="1" ht="18" customHeight="1">
      <c r="A29" s="551" t="str">
        <f>RESUM!D9</f>
        <v>C41</v>
      </c>
      <c r="B29" s="151">
        <f>RESUM!D11</f>
        <v>540</v>
      </c>
      <c r="C29" s="415">
        <f>RESUM!D15</f>
        <v>87.1</v>
      </c>
      <c r="D29" s="417">
        <f t="shared" si="0"/>
        <v>46.030615560397642</v>
      </c>
      <c r="E29" s="152">
        <f t="shared" si="11"/>
        <v>814</v>
      </c>
      <c r="F29" s="153">
        <f t="shared" si="1"/>
        <v>28</v>
      </c>
      <c r="G29" s="154">
        <f t="shared" si="2"/>
        <v>2724.4860225268403</v>
      </c>
      <c r="H29" s="152">
        <f t="shared" si="3"/>
        <v>803.34861720592698</v>
      </c>
      <c r="I29" s="415">
        <f t="shared" si="12"/>
        <v>124.93703414120249</v>
      </c>
      <c r="J29" s="417">
        <f t="shared" si="4"/>
        <v>68.478946962190889</v>
      </c>
      <c r="K29" s="152">
        <f t="shared" si="13"/>
        <v>814</v>
      </c>
      <c r="L29" s="153">
        <f t="shared" si="5"/>
        <v>28.422658274528033</v>
      </c>
      <c r="M29" s="154">
        <f t="shared" si="14"/>
        <v>1668.4335590448579</v>
      </c>
      <c r="N29" s="421">
        <f>RESUM!D32</f>
        <v>31.2</v>
      </c>
      <c r="O29" s="513">
        <f>'driving mode parameters'!D18</f>
        <v>0.91232197040096519</v>
      </c>
      <c r="P29" s="513">
        <f>'driving mode parameters'!D17</f>
        <v>0.83610318033341158</v>
      </c>
      <c r="Q29" s="514">
        <f>RESUM!D16</f>
        <v>28</v>
      </c>
      <c r="R29" s="515">
        <f>RESUM!D12</f>
        <v>814</v>
      </c>
      <c r="S29" s="514">
        <f t="shared" si="15"/>
        <v>26</v>
      </c>
      <c r="T29" s="494"/>
      <c r="U29" s="515">
        <f t="shared" si="6"/>
        <v>803.34861720592698</v>
      </c>
      <c r="V29" s="515">
        <f t="shared" si="7"/>
        <v>124.93703414120249</v>
      </c>
      <c r="W29" s="515">
        <f t="shared" si="16"/>
        <v>309.45411594758292</v>
      </c>
      <c r="X29" s="515">
        <f>X30</f>
        <v>2044.434035729915</v>
      </c>
      <c r="Y29" s="515">
        <f t="shared" si="8"/>
        <v>685.40927212831593</v>
      </c>
      <c r="Z29" s="515">
        <f t="shared" si="9"/>
        <v>146.74107477923857</v>
      </c>
      <c r="AA29" s="515">
        <f t="shared" si="17"/>
        <v>1668.4335590448579</v>
      </c>
      <c r="AB29" s="515">
        <f t="shared" si="10"/>
        <v>1122.2962943893315</v>
      </c>
      <c r="AC29" s="516">
        <f t="shared" si="18"/>
        <v>2724.4860225268403</v>
      </c>
      <c r="AD29" s="494">
        <f t="shared" ref="AD29:AD40" si="19">AD28</f>
        <v>0.81</v>
      </c>
      <c r="AE29" s="494"/>
      <c r="AF29" s="494"/>
      <c r="AG29" s="494"/>
      <c r="AH29" s="494"/>
      <c r="AI29" s="494"/>
      <c r="AJ29" s="494"/>
      <c r="AK29" s="495"/>
      <c r="AL29" s="495"/>
      <c r="AM29" s="495"/>
      <c r="AN29" s="496"/>
      <c r="AO29" s="495"/>
      <c r="AP29" s="494"/>
      <c r="AQ29" s="494"/>
      <c r="AR29" s="494"/>
      <c r="AS29" s="494"/>
      <c r="AT29" s="494"/>
      <c r="AU29" s="494"/>
      <c r="AV29" s="494"/>
      <c r="AW29" s="494"/>
      <c r="AX29" s="494"/>
      <c r="AY29" s="494"/>
      <c r="AZ29" s="494"/>
      <c r="BA29" s="494"/>
      <c r="BB29" s="494"/>
      <c r="BC29" s="494"/>
      <c r="BD29" s="494"/>
      <c r="BE29" s="494"/>
      <c r="BF29" s="494"/>
      <c r="BG29" s="494"/>
      <c r="BH29" s="494"/>
      <c r="BI29" s="494"/>
      <c r="BJ29" s="494"/>
      <c r="BK29" s="494"/>
      <c r="BL29" s="494"/>
      <c r="BM29" s="494"/>
      <c r="BN29" s="494"/>
      <c r="BO29" s="494"/>
      <c r="BP29" s="494"/>
      <c r="BQ29" s="494"/>
      <c r="BR29" s="494"/>
      <c r="BS29" s="494"/>
      <c r="BT29" s="494"/>
      <c r="BU29" s="494"/>
      <c r="BV29" s="494"/>
      <c r="BW29" s="494"/>
      <c r="BX29" s="494"/>
      <c r="BY29" s="494"/>
      <c r="BZ29" s="494"/>
      <c r="CA29" s="494"/>
      <c r="CB29" s="494"/>
      <c r="CC29" s="494"/>
      <c r="CD29" s="494"/>
      <c r="CE29" s="494"/>
      <c r="CF29" s="494"/>
      <c r="CG29" s="494"/>
      <c r="CH29" s="494"/>
      <c r="CI29" s="494"/>
      <c r="CJ29" s="494"/>
      <c r="CK29" s="494"/>
      <c r="CL29" s="494"/>
      <c r="CM29" s="494"/>
      <c r="CN29" s="494"/>
      <c r="CO29" s="494"/>
      <c r="CP29" s="494"/>
      <c r="CQ29" s="494"/>
      <c r="CR29" s="494"/>
      <c r="CS29" s="494"/>
      <c r="CT29" s="494"/>
      <c r="CU29" s="494"/>
      <c r="CV29" s="494"/>
      <c r="CW29" s="494"/>
      <c r="CX29" s="494"/>
      <c r="CY29" s="494"/>
      <c r="CZ29" s="494"/>
      <c r="DA29" s="494"/>
      <c r="DB29" s="494"/>
      <c r="DC29" s="494"/>
      <c r="DD29" s="494"/>
      <c r="DE29" s="494"/>
      <c r="DF29" s="494"/>
      <c r="DG29" s="494"/>
      <c r="DH29" s="494"/>
      <c r="DI29" s="494"/>
      <c r="DJ29" s="494"/>
      <c r="DK29" s="494"/>
      <c r="DL29" s="494"/>
      <c r="DM29" s="494"/>
      <c r="DN29" s="494"/>
      <c r="DO29" s="494"/>
      <c r="DP29" s="494"/>
      <c r="DQ29" s="494"/>
      <c r="DR29" s="494"/>
      <c r="DS29" s="494"/>
      <c r="DT29" s="494"/>
      <c r="DU29" s="494"/>
      <c r="DV29" s="494"/>
      <c r="DW29" s="494"/>
      <c r="DX29" s="494"/>
      <c r="DY29" s="494"/>
      <c r="DZ29" s="494"/>
      <c r="EA29" s="494"/>
      <c r="EB29" s="494"/>
      <c r="EC29" s="494"/>
      <c r="ED29" s="494"/>
      <c r="EE29" s="494"/>
      <c r="EF29" s="494"/>
      <c r="EG29" s="494"/>
      <c r="EH29" s="494"/>
      <c r="EI29" s="494"/>
      <c r="EJ29" s="494"/>
      <c r="EK29" s="494"/>
      <c r="EL29" s="494"/>
      <c r="EM29" s="494"/>
      <c r="EN29" s="494"/>
      <c r="EO29" s="494"/>
      <c r="EP29" s="494"/>
      <c r="EQ29" s="494"/>
      <c r="ER29" s="494"/>
      <c r="ES29" s="494"/>
      <c r="ET29" s="494"/>
      <c r="EU29" s="494"/>
      <c r="EV29" s="494"/>
      <c r="EW29" s="494"/>
      <c r="EX29" s="494"/>
      <c r="EY29" s="494"/>
      <c r="EZ29" s="494"/>
      <c r="FA29" s="494"/>
      <c r="FB29" s="494"/>
      <c r="FC29" s="494"/>
      <c r="FD29" s="494"/>
      <c r="FE29" s="494"/>
      <c r="FF29" s="494"/>
      <c r="FG29" s="494"/>
      <c r="FH29" s="494"/>
      <c r="FI29" s="494"/>
      <c r="FJ29" s="494"/>
      <c r="FK29" s="494"/>
      <c r="FL29" s="494"/>
      <c r="FM29" s="494"/>
      <c r="FN29" s="494"/>
      <c r="FO29" s="494"/>
      <c r="FP29" s="494"/>
      <c r="FQ29" s="494"/>
      <c r="FR29" s="494"/>
      <c r="FS29" s="494"/>
      <c r="FT29" s="494"/>
      <c r="FU29" s="494"/>
      <c r="FV29" s="494"/>
      <c r="FW29" s="494"/>
      <c r="FX29" s="494"/>
      <c r="FY29" s="494"/>
      <c r="FZ29" s="494"/>
      <c r="GA29" s="494"/>
      <c r="GB29" s="494"/>
      <c r="GC29" s="494"/>
      <c r="GD29" s="494"/>
    </row>
    <row r="30" spans="1:186" s="101" customFormat="1" ht="18" customHeight="1">
      <c r="A30" s="551" t="str">
        <f>RESUM!E9</f>
        <v>D41</v>
      </c>
      <c r="B30" s="151">
        <f>RESUM!E11</f>
        <v>540</v>
      </c>
      <c r="C30" s="415">
        <f>RESUM!E15</f>
        <v>104.9</v>
      </c>
      <c r="D30" s="417">
        <f t="shared" si="0"/>
        <v>56.152827090263962</v>
      </c>
      <c r="E30" s="152">
        <f t="shared" si="11"/>
        <v>993</v>
      </c>
      <c r="F30" s="153">
        <f t="shared" si="1"/>
        <v>34</v>
      </c>
      <c r="G30" s="154">
        <f t="shared" si="2"/>
        <v>3289.5117935819062</v>
      </c>
      <c r="H30" s="152">
        <f t="shared" si="3"/>
        <v>803.37960938882998</v>
      </c>
      <c r="I30" s="415">
        <f t="shared" si="12"/>
        <v>150.49799832555914</v>
      </c>
      <c r="J30" s="417">
        <f t="shared" si="4"/>
        <v>83.54080795158292</v>
      </c>
      <c r="K30" s="152">
        <f t="shared" si="13"/>
        <v>993</v>
      </c>
      <c r="L30" s="153">
        <f t="shared" si="5"/>
        <v>34.438966015648049</v>
      </c>
      <c r="M30" s="154">
        <f t="shared" si="14"/>
        <v>2014.3507569694586</v>
      </c>
      <c r="N30" s="421">
        <f>RESUM!E32</f>
        <v>37.5</v>
      </c>
      <c r="O30" s="513">
        <f>'driving mode parameters'!E18</f>
        <v>0.92498435338333063</v>
      </c>
      <c r="P30" s="513">
        <f>'driving mode parameters'!E17</f>
        <v>0.83529740643157846</v>
      </c>
      <c r="Q30" s="514">
        <f>RESUM!E16</f>
        <v>34</v>
      </c>
      <c r="R30" s="515">
        <f>RESUM!E12</f>
        <v>993</v>
      </c>
      <c r="S30" s="514">
        <f t="shared" si="15"/>
        <v>27</v>
      </c>
      <c r="T30" s="494"/>
      <c r="U30" s="515">
        <f t="shared" si="6"/>
        <v>803.37960938882998</v>
      </c>
      <c r="V30" s="515">
        <f t="shared" si="7"/>
        <v>150.49799832555914</v>
      </c>
      <c r="W30" s="515">
        <f t="shared" si="16"/>
        <v>372.79723874405266</v>
      </c>
      <c r="X30" s="515">
        <f>X31</f>
        <v>2044.434035729915</v>
      </c>
      <c r="Y30" s="515">
        <f t="shared" si="8"/>
        <v>832.28268758438355</v>
      </c>
      <c r="Z30" s="515">
        <f t="shared" si="9"/>
        <v>178.18559080336112</v>
      </c>
      <c r="AA30" s="515">
        <f t="shared" si="17"/>
        <v>2014.3507569694586</v>
      </c>
      <c r="AB30" s="515">
        <f t="shared" si="10"/>
        <v>1362.759311565233</v>
      </c>
      <c r="AC30" s="516">
        <f t="shared" si="18"/>
        <v>3289.5117935819062</v>
      </c>
      <c r="AD30" s="494">
        <f t="shared" si="19"/>
        <v>0.81</v>
      </c>
      <c r="AE30" s="494"/>
      <c r="AF30" s="494"/>
      <c r="AG30" s="494"/>
      <c r="AH30" s="494"/>
      <c r="AI30" s="494"/>
      <c r="AJ30" s="494"/>
      <c r="AK30" s="495"/>
      <c r="AL30" s="495"/>
      <c r="AM30" s="495"/>
      <c r="AN30" s="496"/>
      <c r="AO30" s="495"/>
      <c r="AP30" s="494"/>
      <c r="AQ30" s="494"/>
      <c r="AR30" s="494"/>
      <c r="AS30" s="494"/>
      <c r="AT30" s="494"/>
      <c r="AU30" s="494"/>
      <c r="AV30" s="494"/>
      <c r="AW30" s="494"/>
      <c r="AX30" s="494"/>
      <c r="AY30" s="494"/>
      <c r="AZ30" s="494"/>
      <c r="BA30" s="494"/>
      <c r="BB30" s="494"/>
      <c r="BC30" s="494"/>
      <c r="BD30" s="494"/>
      <c r="BE30" s="494"/>
      <c r="BF30" s="494"/>
      <c r="BG30" s="494"/>
      <c r="BH30" s="494"/>
      <c r="BI30" s="494"/>
      <c r="BJ30" s="494"/>
      <c r="BK30" s="494"/>
      <c r="BL30" s="494"/>
      <c r="BM30" s="494"/>
      <c r="BN30" s="494"/>
      <c r="BO30" s="494"/>
      <c r="BP30" s="494"/>
      <c r="BQ30" s="494"/>
      <c r="BR30" s="494"/>
      <c r="BS30" s="494"/>
      <c r="BT30" s="494"/>
      <c r="BU30" s="494"/>
      <c r="BV30" s="494"/>
      <c r="BW30" s="494"/>
      <c r="BX30" s="494"/>
      <c r="BY30" s="494"/>
      <c r="BZ30" s="494"/>
      <c r="CA30" s="494"/>
      <c r="CB30" s="494"/>
      <c r="CC30" s="494"/>
      <c r="CD30" s="494"/>
      <c r="CE30" s="494"/>
      <c r="CF30" s="494"/>
      <c r="CG30" s="494"/>
      <c r="CH30" s="494"/>
      <c r="CI30" s="494"/>
      <c r="CJ30" s="494"/>
      <c r="CK30" s="494"/>
      <c r="CL30" s="494"/>
      <c r="CM30" s="494"/>
      <c r="CN30" s="494"/>
      <c r="CO30" s="494"/>
      <c r="CP30" s="494"/>
      <c r="CQ30" s="494"/>
      <c r="CR30" s="494"/>
      <c r="CS30" s="494"/>
      <c r="CT30" s="494"/>
      <c r="CU30" s="494"/>
      <c r="CV30" s="494"/>
      <c r="CW30" s="494"/>
      <c r="CX30" s="494"/>
      <c r="CY30" s="494"/>
      <c r="CZ30" s="494"/>
      <c r="DA30" s="494"/>
      <c r="DB30" s="494"/>
      <c r="DC30" s="494"/>
      <c r="DD30" s="494"/>
      <c r="DE30" s="494"/>
      <c r="DF30" s="494"/>
      <c r="DG30" s="494"/>
      <c r="DH30" s="494"/>
      <c r="DI30" s="494"/>
      <c r="DJ30" s="494"/>
      <c r="DK30" s="494"/>
      <c r="DL30" s="494"/>
      <c r="DM30" s="494"/>
      <c r="DN30" s="494"/>
      <c r="DO30" s="494"/>
      <c r="DP30" s="494"/>
      <c r="DQ30" s="494"/>
      <c r="DR30" s="494"/>
      <c r="DS30" s="494"/>
      <c r="DT30" s="494"/>
      <c r="DU30" s="494"/>
      <c r="DV30" s="494"/>
      <c r="DW30" s="494"/>
      <c r="DX30" s="494"/>
      <c r="DY30" s="494"/>
      <c r="DZ30" s="494"/>
      <c r="EA30" s="494"/>
      <c r="EB30" s="494"/>
      <c r="EC30" s="494"/>
      <c r="ED30" s="494"/>
      <c r="EE30" s="494"/>
      <c r="EF30" s="494"/>
      <c r="EG30" s="494"/>
      <c r="EH30" s="494"/>
      <c r="EI30" s="494"/>
      <c r="EJ30" s="494"/>
      <c r="EK30" s="494"/>
      <c r="EL30" s="494"/>
      <c r="EM30" s="494"/>
      <c r="EN30" s="494"/>
      <c r="EO30" s="494"/>
      <c r="EP30" s="494"/>
      <c r="EQ30" s="494"/>
      <c r="ER30" s="494"/>
      <c r="ES30" s="494"/>
      <c r="ET30" s="494"/>
      <c r="EU30" s="494"/>
      <c r="EV30" s="494"/>
      <c r="EW30" s="494"/>
      <c r="EX30" s="494"/>
      <c r="EY30" s="494"/>
      <c r="EZ30" s="494"/>
      <c r="FA30" s="494"/>
      <c r="FB30" s="494"/>
      <c r="FC30" s="494"/>
      <c r="FD30" s="494"/>
      <c r="FE30" s="494"/>
      <c r="FF30" s="494"/>
      <c r="FG30" s="494"/>
      <c r="FH30" s="494"/>
      <c r="FI30" s="494"/>
      <c r="FJ30" s="494"/>
      <c r="FK30" s="494"/>
      <c r="FL30" s="494"/>
      <c r="FM30" s="494"/>
      <c r="FN30" s="494"/>
      <c r="FO30" s="494"/>
      <c r="FP30" s="494"/>
      <c r="FQ30" s="494"/>
      <c r="FR30" s="494"/>
      <c r="FS30" s="494"/>
      <c r="FT30" s="494"/>
      <c r="FU30" s="494"/>
      <c r="FV30" s="494"/>
      <c r="FW30" s="494"/>
      <c r="FX30" s="494"/>
      <c r="FY30" s="494"/>
      <c r="FZ30" s="494"/>
      <c r="GA30" s="494"/>
      <c r="GB30" s="494"/>
      <c r="GC30" s="494"/>
      <c r="GD30" s="494"/>
    </row>
    <row r="31" spans="1:186" s="101" customFormat="1" ht="18" customHeight="1">
      <c r="A31" s="551" t="str">
        <f>RESUM!F9</f>
        <v>E41</v>
      </c>
      <c r="B31" s="151">
        <f>RESUM!F11</f>
        <v>540</v>
      </c>
      <c r="C31" s="415">
        <f>RESUM!F15</f>
        <v>116.4</v>
      </c>
      <c r="D31" s="417">
        <f t="shared" si="0"/>
        <v>62.938667222017919</v>
      </c>
      <c r="E31" s="152">
        <f t="shared" si="11"/>
        <v>1113</v>
      </c>
      <c r="F31" s="153">
        <f t="shared" si="1"/>
        <v>38</v>
      </c>
      <c r="G31" s="154">
        <f t="shared" si="2"/>
        <v>3663.56361298913</v>
      </c>
      <c r="H31" s="152">
        <f t="shared" si="3"/>
        <v>803.60083870581059</v>
      </c>
      <c r="I31" s="415">
        <f t="shared" si="12"/>
        <v>167.2233835323278</v>
      </c>
      <c r="J31" s="417">
        <f t="shared" si="4"/>
        <v>93.66215882711019</v>
      </c>
      <c r="K31" s="152">
        <f t="shared" si="13"/>
        <v>1113</v>
      </c>
      <c r="L31" s="153">
        <f t="shared" si="5"/>
        <v>38.439334731176352</v>
      </c>
      <c r="M31" s="154">
        <f t="shared" si="14"/>
        <v>2242.6410105495697</v>
      </c>
      <c r="N31" s="421">
        <f>RESUM!F32</f>
        <v>41</v>
      </c>
      <c r="O31" s="513">
        <f>'driving mode parameters'!F18</f>
        <v>0.9318038280654164</v>
      </c>
      <c r="P31" s="513">
        <f>'driving mode parameters'!F17</f>
        <v>0.83756679741303308</v>
      </c>
      <c r="Q31" s="514">
        <f>RESUM!F16</f>
        <v>38</v>
      </c>
      <c r="R31" s="515">
        <f>RESUM!F12</f>
        <v>1113</v>
      </c>
      <c r="S31" s="514">
        <f t="shared" si="15"/>
        <v>27</v>
      </c>
      <c r="T31" s="494"/>
      <c r="U31" s="515">
        <f t="shared" si="6"/>
        <v>803.60083870581059</v>
      </c>
      <c r="V31" s="515">
        <f t="shared" si="7"/>
        <v>167.2233835323278</v>
      </c>
      <c r="W31" s="515">
        <f t="shared" si="16"/>
        <v>414.47910083932226</v>
      </c>
      <c r="X31" s="515">
        <f>X32</f>
        <v>2044.434035729915</v>
      </c>
      <c r="Y31" s="515">
        <f>Y$32*F31/F$32*(B$32/B31)^0.5</f>
        <v>930.19829788842867</v>
      </c>
      <c r="Z31" s="515">
        <f t="shared" si="9"/>
        <v>199.14860148610947</v>
      </c>
      <c r="AA31" s="515">
        <f t="shared" si="17"/>
        <v>2242.6410105495697</v>
      </c>
      <c r="AB31" s="515">
        <f t="shared" si="10"/>
        <v>1522.8522640459444</v>
      </c>
      <c r="AC31" s="516">
        <f t="shared" si="18"/>
        <v>3663.56361298913</v>
      </c>
      <c r="AD31" s="494">
        <f t="shared" si="19"/>
        <v>0.81</v>
      </c>
      <c r="AE31" s="494"/>
      <c r="AF31" s="494"/>
      <c r="AG31" s="494"/>
      <c r="AH31" s="494"/>
      <c r="AI31" s="494"/>
      <c r="AJ31" s="494"/>
      <c r="AK31" s="495"/>
      <c r="AL31" s="495"/>
      <c r="AM31" s="495"/>
      <c r="AN31" s="496"/>
      <c r="AO31" s="495"/>
      <c r="AP31" s="494"/>
      <c r="AQ31" s="494"/>
      <c r="AR31" s="494"/>
      <c r="AS31" s="494"/>
      <c r="AT31" s="494"/>
      <c r="AU31" s="494"/>
      <c r="AV31" s="494"/>
      <c r="AW31" s="494"/>
      <c r="AX31" s="494"/>
      <c r="AY31" s="494"/>
      <c r="AZ31" s="494"/>
      <c r="BA31" s="494"/>
      <c r="BB31" s="494"/>
      <c r="BC31" s="494"/>
      <c r="BD31" s="494"/>
      <c r="BE31" s="494"/>
      <c r="BF31" s="494"/>
      <c r="BG31" s="494"/>
      <c r="BH31" s="494"/>
      <c r="BI31" s="494"/>
      <c r="BJ31" s="494"/>
      <c r="BK31" s="494"/>
      <c r="BL31" s="494"/>
      <c r="BM31" s="494"/>
      <c r="BN31" s="494"/>
      <c r="BO31" s="494"/>
      <c r="BP31" s="494"/>
      <c r="BQ31" s="494"/>
      <c r="BR31" s="494"/>
      <c r="BS31" s="494"/>
      <c r="BT31" s="494"/>
      <c r="BU31" s="494"/>
      <c r="BV31" s="494"/>
      <c r="BW31" s="494"/>
      <c r="BX31" s="494"/>
      <c r="BY31" s="494"/>
      <c r="BZ31" s="494"/>
      <c r="CA31" s="494"/>
      <c r="CB31" s="494"/>
      <c r="CC31" s="494"/>
      <c r="CD31" s="494"/>
      <c r="CE31" s="494"/>
      <c r="CF31" s="494"/>
      <c r="CG31" s="494"/>
      <c r="CH31" s="494"/>
      <c r="CI31" s="494"/>
      <c r="CJ31" s="494"/>
      <c r="CK31" s="494"/>
      <c r="CL31" s="494"/>
      <c r="CM31" s="494"/>
      <c r="CN31" s="494"/>
      <c r="CO31" s="494"/>
      <c r="CP31" s="494"/>
      <c r="CQ31" s="494"/>
      <c r="CR31" s="494"/>
      <c r="CS31" s="494"/>
      <c r="CT31" s="494"/>
      <c r="CU31" s="494"/>
      <c r="CV31" s="494"/>
      <c r="CW31" s="494"/>
      <c r="CX31" s="494"/>
      <c r="CY31" s="494"/>
      <c r="CZ31" s="494"/>
      <c r="DA31" s="494"/>
      <c r="DB31" s="494"/>
      <c r="DC31" s="494"/>
      <c r="DD31" s="494"/>
      <c r="DE31" s="494"/>
      <c r="DF31" s="494"/>
      <c r="DG31" s="494"/>
      <c r="DH31" s="494"/>
      <c r="DI31" s="494"/>
      <c r="DJ31" s="494"/>
      <c r="DK31" s="494"/>
      <c r="DL31" s="494"/>
      <c r="DM31" s="494"/>
      <c r="DN31" s="494"/>
      <c r="DO31" s="494"/>
      <c r="DP31" s="494"/>
      <c r="DQ31" s="494"/>
      <c r="DR31" s="494"/>
      <c r="DS31" s="494"/>
      <c r="DT31" s="494"/>
      <c r="DU31" s="494"/>
      <c r="DV31" s="494"/>
      <c r="DW31" s="494"/>
      <c r="DX31" s="494"/>
      <c r="DY31" s="494"/>
      <c r="DZ31" s="494"/>
      <c r="EA31" s="494"/>
      <c r="EB31" s="494"/>
      <c r="EC31" s="494"/>
      <c r="ED31" s="494"/>
      <c r="EE31" s="494"/>
      <c r="EF31" s="494"/>
      <c r="EG31" s="494"/>
      <c r="EH31" s="494"/>
      <c r="EI31" s="494"/>
      <c r="EJ31" s="494"/>
      <c r="EK31" s="494"/>
      <c r="EL31" s="494"/>
      <c r="EM31" s="494"/>
      <c r="EN31" s="494"/>
      <c r="EO31" s="494"/>
      <c r="EP31" s="494"/>
      <c r="EQ31" s="494"/>
      <c r="ER31" s="494"/>
      <c r="ES31" s="494"/>
      <c r="ET31" s="494"/>
      <c r="EU31" s="494"/>
      <c r="EV31" s="494"/>
      <c r="EW31" s="494"/>
      <c r="EX31" s="494"/>
      <c r="EY31" s="494"/>
      <c r="EZ31" s="494"/>
      <c r="FA31" s="494"/>
      <c r="FB31" s="494"/>
      <c r="FC31" s="494"/>
      <c r="FD31" s="494"/>
      <c r="FE31" s="494"/>
      <c r="FF31" s="494"/>
      <c r="FG31" s="494"/>
      <c r="FH31" s="494"/>
      <c r="FI31" s="494"/>
      <c r="FJ31" s="494"/>
      <c r="FK31" s="494"/>
      <c r="FL31" s="494"/>
      <c r="FM31" s="494"/>
      <c r="FN31" s="494"/>
      <c r="FO31" s="494"/>
      <c r="FP31" s="494"/>
      <c r="FQ31" s="494"/>
      <c r="FR31" s="494"/>
      <c r="FS31" s="494"/>
      <c r="FT31" s="494"/>
      <c r="FU31" s="494"/>
      <c r="FV31" s="494"/>
      <c r="FW31" s="494"/>
      <c r="FX31" s="494"/>
      <c r="FY31" s="494"/>
      <c r="FZ31" s="494"/>
      <c r="GA31" s="494"/>
      <c r="GB31" s="494"/>
      <c r="GC31" s="494"/>
      <c r="GD31" s="494"/>
    </row>
    <row r="32" spans="1:186" s="443" customFormat="1" ht="18" customHeight="1">
      <c r="A32" s="552" t="str">
        <f>RESUM!G9</f>
        <v>F41</v>
      </c>
      <c r="B32" s="485">
        <f>RESUM!G11</f>
        <v>540</v>
      </c>
      <c r="C32" s="486">
        <f>RESUM!G15</f>
        <v>130.9</v>
      </c>
      <c r="D32" s="487">
        <f t="shared" si="0"/>
        <v>71.420967386710359</v>
      </c>
      <c r="E32" s="488">
        <f t="shared" si="11"/>
        <v>1263</v>
      </c>
      <c r="F32" s="489">
        <f t="shared" si="1"/>
        <v>43</v>
      </c>
      <c r="G32" s="490">
        <f t="shared" si="2"/>
        <v>4131.2199258236114</v>
      </c>
      <c r="H32" s="488">
        <f t="shared" si="3"/>
        <v>803.79207743487518</v>
      </c>
      <c r="I32" s="486">
        <f t="shared" si="12"/>
        <v>188.27625314946121</v>
      </c>
      <c r="J32" s="487">
        <f t="shared" si="4"/>
        <v>106.31038471883774</v>
      </c>
      <c r="K32" s="488">
        <f>IF($E$32&lt;$M$32,$E$32,$M$32)</f>
        <v>1263</v>
      </c>
      <c r="L32" s="489">
        <f t="shared" si="5"/>
        <v>43.439653462391455</v>
      </c>
      <c r="M32" s="490">
        <f t="shared" si="14"/>
        <v>2528.1728198880992</v>
      </c>
      <c r="N32" s="491">
        <f>RESUM!G32</f>
        <v>45.5</v>
      </c>
      <c r="O32" s="513">
        <f>'driving mode parameters'!G18</f>
        <v>0.93810346754101459</v>
      </c>
      <c r="P32" s="513">
        <f>'driving mode parameters'!G17</f>
        <v>0.83948844328330163</v>
      </c>
      <c r="Q32" s="514">
        <f>RESUM!G16</f>
        <v>43</v>
      </c>
      <c r="R32" s="515">
        <f>RESUM!G12</f>
        <v>1263</v>
      </c>
      <c r="S32" s="514">
        <f t="shared" si="15"/>
        <v>27</v>
      </c>
      <c r="T32" s="494"/>
      <c r="U32" s="515">
        <f t="shared" si="6"/>
        <v>803.79207743487518</v>
      </c>
      <c r="V32" s="515">
        <f t="shared" si="7"/>
        <v>188.27625314946121</v>
      </c>
      <c r="W32" s="515">
        <f t="shared" si="16"/>
        <v>466.90611474630236</v>
      </c>
      <c r="X32" s="515">
        <f>'limit 480V'!K27*0.95</f>
        <v>2044.434035729915</v>
      </c>
      <c r="Y32" s="515">
        <f>'limit 480V'!I27/'limit 480V'!Y27*M21</f>
        <v>1052.5928107684852</v>
      </c>
      <c r="Z32" s="515">
        <f t="shared" si="9"/>
        <v>225.35236483954495</v>
      </c>
      <c r="AA32" s="515">
        <f t="shared" si="17"/>
        <v>2528.1728198880992</v>
      </c>
      <c r="AB32" s="515">
        <f t="shared" si="10"/>
        <v>1723.0010352942218</v>
      </c>
      <c r="AC32" s="516">
        <f>0.95*Y32*(Z32/D32)^(1/AD32)</f>
        <v>4131.2199258236114</v>
      </c>
      <c r="AD32" s="494">
        <f t="shared" si="19"/>
        <v>0.81</v>
      </c>
      <c r="AE32" s="494">
        <f>AB32*(J32/D32)^(1/2/AD32)</f>
        <v>2202.5273858741011</v>
      </c>
      <c r="AF32" s="494"/>
      <c r="AG32" s="494"/>
      <c r="AH32" s="494"/>
      <c r="AI32" s="494"/>
      <c r="AJ32" s="494"/>
      <c r="AK32" s="495"/>
      <c r="AL32" s="495"/>
      <c r="AM32" s="495"/>
      <c r="AN32" s="496"/>
      <c r="AO32" s="495"/>
      <c r="AP32" s="494"/>
      <c r="AQ32" s="494"/>
      <c r="AR32" s="494"/>
      <c r="AS32" s="494"/>
      <c r="AT32" s="494"/>
      <c r="AU32" s="494"/>
      <c r="AV32" s="494"/>
      <c r="AW32" s="494"/>
      <c r="AX32" s="494"/>
      <c r="AY32" s="494"/>
      <c r="AZ32" s="494"/>
      <c r="BA32" s="494"/>
      <c r="BB32" s="494"/>
      <c r="BC32" s="494"/>
      <c r="BD32" s="494"/>
      <c r="BE32" s="494"/>
      <c r="BF32" s="494"/>
      <c r="BG32" s="494"/>
      <c r="BH32" s="494"/>
      <c r="BI32" s="494"/>
      <c r="BJ32" s="494"/>
      <c r="BK32" s="494"/>
      <c r="BL32" s="494"/>
      <c r="BM32" s="494"/>
      <c r="BN32" s="494"/>
      <c r="BO32" s="494"/>
      <c r="BP32" s="494"/>
      <c r="BQ32" s="494"/>
      <c r="BR32" s="494"/>
      <c r="BS32" s="494"/>
      <c r="BT32" s="494"/>
      <c r="BU32" s="494"/>
      <c r="BV32" s="494"/>
      <c r="BW32" s="494"/>
      <c r="BX32" s="494"/>
      <c r="BY32" s="494"/>
      <c r="BZ32" s="494"/>
      <c r="CA32" s="494"/>
      <c r="CB32" s="494"/>
      <c r="CC32" s="494"/>
      <c r="CD32" s="494"/>
      <c r="CE32" s="494"/>
      <c r="CF32" s="494"/>
      <c r="CG32" s="494"/>
      <c r="CH32" s="494"/>
      <c r="CI32" s="494"/>
      <c r="CJ32" s="494"/>
      <c r="CK32" s="494"/>
      <c r="CL32" s="494"/>
      <c r="CM32" s="494"/>
      <c r="CN32" s="494"/>
      <c r="CO32" s="494"/>
      <c r="CP32" s="494"/>
      <c r="CQ32" s="494"/>
      <c r="CR32" s="494"/>
      <c r="CS32" s="494"/>
      <c r="CT32" s="494"/>
      <c r="CU32" s="494"/>
      <c r="CV32" s="494"/>
      <c r="CW32" s="494"/>
      <c r="CX32" s="494"/>
      <c r="CY32" s="494"/>
      <c r="CZ32" s="494"/>
      <c r="DA32" s="494"/>
      <c r="DB32" s="494"/>
      <c r="DC32" s="494"/>
      <c r="DD32" s="494"/>
      <c r="DE32" s="494"/>
      <c r="DF32" s="494"/>
      <c r="DG32" s="494"/>
      <c r="DH32" s="494"/>
      <c r="DI32" s="494"/>
      <c r="DJ32" s="494"/>
      <c r="DK32" s="494"/>
      <c r="DL32" s="494"/>
      <c r="DM32" s="494"/>
      <c r="DN32" s="494"/>
      <c r="DO32" s="494"/>
      <c r="DP32" s="494"/>
      <c r="DQ32" s="494"/>
      <c r="DR32" s="494"/>
      <c r="DS32" s="494"/>
      <c r="DT32" s="494"/>
      <c r="DU32" s="494"/>
      <c r="DV32" s="494"/>
      <c r="DW32" s="494"/>
      <c r="DX32" s="494"/>
      <c r="DY32" s="494"/>
      <c r="DZ32" s="494"/>
      <c r="EA32" s="494"/>
      <c r="EB32" s="494"/>
      <c r="EC32" s="494"/>
      <c r="ED32" s="494"/>
      <c r="EE32" s="494"/>
      <c r="EF32" s="494"/>
      <c r="EG32" s="494"/>
      <c r="EH32" s="494"/>
      <c r="EI32" s="494"/>
      <c r="EJ32" s="494"/>
      <c r="EK32" s="494"/>
      <c r="EL32" s="494"/>
      <c r="EM32" s="494"/>
      <c r="EN32" s="494"/>
      <c r="EO32" s="494"/>
      <c r="EP32" s="494"/>
      <c r="EQ32" s="494"/>
      <c r="ER32" s="494"/>
      <c r="ES32" s="494"/>
      <c r="ET32" s="494"/>
      <c r="EU32" s="494"/>
      <c r="EV32" s="494"/>
      <c r="EW32" s="494"/>
      <c r="EX32" s="494"/>
      <c r="EY32" s="494"/>
      <c r="EZ32" s="494"/>
      <c r="FA32" s="494"/>
      <c r="FB32" s="494"/>
      <c r="FC32" s="494"/>
      <c r="FD32" s="494"/>
      <c r="FE32" s="494"/>
      <c r="FF32" s="494"/>
      <c r="FG32" s="494"/>
      <c r="FH32" s="494"/>
      <c r="FI32" s="494"/>
      <c r="FJ32" s="494"/>
      <c r="FK32" s="494"/>
      <c r="FL32" s="494"/>
      <c r="FM32" s="494"/>
      <c r="FN32" s="494"/>
      <c r="FO32" s="494"/>
      <c r="FP32" s="494"/>
      <c r="FQ32" s="494"/>
      <c r="FR32" s="494"/>
      <c r="FS32" s="494"/>
      <c r="FT32" s="494"/>
      <c r="FU32" s="494"/>
      <c r="FV32" s="494"/>
      <c r="FW32" s="494"/>
      <c r="FX32" s="494"/>
      <c r="FY32" s="494"/>
      <c r="FZ32" s="494"/>
      <c r="GA32" s="494"/>
      <c r="GB32" s="494"/>
      <c r="GC32" s="494"/>
      <c r="GD32" s="494"/>
    </row>
    <row r="33" spans="1:186" s="101" customFormat="1" ht="18" customHeight="1">
      <c r="A33" s="551" t="str">
        <f>RESUM!H9</f>
        <v>G41</v>
      </c>
      <c r="B33" s="151">
        <f>RESUM!H11</f>
        <v>540</v>
      </c>
      <c r="C33" s="415">
        <f>RESUM!H15</f>
        <v>149.4</v>
      </c>
      <c r="D33" s="417">
        <f t="shared" si="0"/>
        <v>81.599727584341295</v>
      </c>
      <c r="E33" s="152">
        <f t="shared" si="11"/>
        <v>1443</v>
      </c>
      <c r="F33" s="153">
        <f t="shared" si="1"/>
        <v>49</v>
      </c>
      <c r="G33" s="154">
        <f t="shared" si="2"/>
        <v>4692.4998299833087</v>
      </c>
      <c r="H33" s="152">
        <f t="shared" si="3"/>
        <v>803.29590426711934</v>
      </c>
      <c r="I33" s="415">
        <f t="shared" si="12"/>
        <v>214.2318253668208</v>
      </c>
      <c r="J33" s="417">
        <f t="shared" si="4"/>
        <v>121.38653140335931</v>
      </c>
      <c r="K33" s="152">
        <f t="shared" si="13"/>
        <v>1443</v>
      </c>
      <c r="L33" s="153">
        <f t="shared" si="5"/>
        <v>49.43882650711187</v>
      </c>
      <c r="M33" s="154">
        <f t="shared" si="14"/>
        <v>2873.847909651513</v>
      </c>
      <c r="N33" s="421">
        <f>RESUM!H32</f>
        <v>53.7</v>
      </c>
      <c r="O33" s="513">
        <f>'driving mode parameters'!H18</f>
        <v>0.94444682015064407</v>
      </c>
      <c r="P33" s="513">
        <f>'driving mode parameters'!H17</f>
        <v>0.83471839439777928</v>
      </c>
      <c r="Q33" s="514">
        <f>RESUM!H16</f>
        <v>49</v>
      </c>
      <c r="R33" s="515">
        <f>RESUM!H12</f>
        <v>1443</v>
      </c>
      <c r="S33" s="514">
        <f t="shared" si="15"/>
        <v>27</v>
      </c>
      <c r="T33" s="494"/>
      <c r="U33" s="515">
        <f t="shared" si="6"/>
        <v>803.29590426711934</v>
      </c>
      <c r="V33" s="515">
        <f t="shared" si="7"/>
        <v>214.2318253668208</v>
      </c>
      <c r="W33" s="515">
        <f t="shared" si="16"/>
        <v>530.55002324745556</v>
      </c>
      <c r="X33" s="515">
        <f t="shared" ref="X33:X40" si="20">X32</f>
        <v>2044.434035729915</v>
      </c>
      <c r="Y33" s="515">
        <f t="shared" ref="Y33:Y40" si="21">Y$32*F33/F$32*(B$32/B33)^0.5</f>
        <v>1199.4662262245529</v>
      </c>
      <c r="Z33" s="515">
        <f t="shared" si="9"/>
        <v>256.79688086366752</v>
      </c>
      <c r="AA33" s="515">
        <f t="shared" si="17"/>
        <v>2873.847909651513</v>
      </c>
      <c r="AB33" s="515">
        <f t="shared" si="10"/>
        <v>1964.0897188388792</v>
      </c>
      <c r="AC33" s="516">
        <f t="shared" si="18"/>
        <v>4692.4998299833087</v>
      </c>
      <c r="AD33" s="494">
        <f t="shared" si="19"/>
        <v>0.81</v>
      </c>
      <c r="AE33" s="494"/>
      <c r="AF33" s="494"/>
      <c r="AG33" s="494"/>
      <c r="AH33" s="494"/>
      <c r="AI33" s="494"/>
      <c r="AJ33" s="494"/>
      <c r="AK33" s="495"/>
      <c r="AL33" s="495"/>
      <c r="AM33" s="495"/>
      <c r="AN33" s="496"/>
      <c r="AO33" s="495"/>
      <c r="AP33" s="494"/>
      <c r="AQ33" s="494"/>
      <c r="AR33" s="494"/>
      <c r="AS33" s="494"/>
      <c r="AT33" s="494"/>
      <c r="AU33" s="494"/>
      <c r="AV33" s="494"/>
      <c r="AW33" s="494"/>
      <c r="AX33" s="494"/>
      <c r="AY33" s="494"/>
      <c r="AZ33" s="494"/>
      <c r="BA33" s="494"/>
      <c r="BB33" s="494"/>
      <c r="BC33" s="494"/>
      <c r="BD33" s="494"/>
      <c r="BE33" s="494"/>
      <c r="BF33" s="494"/>
      <c r="BG33" s="494"/>
      <c r="BH33" s="494"/>
      <c r="BI33" s="494"/>
      <c r="BJ33" s="494"/>
      <c r="BK33" s="494"/>
      <c r="BL33" s="494"/>
      <c r="BM33" s="494"/>
      <c r="BN33" s="494"/>
      <c r="BO33" s="494"/>
      <c r="BP33" s="494"/>
      <c r="BQ33" s="494"/>
      <c r="BR33" s="494"/>
      <c r="BS33" s="494"/>
      <c r="BT33" s="494"/>
      <c r="BU33" s="494"/>
      <c r="BV33" s="494"/>
      <c r="BW33" s="494"/>
      <c r="BX33" s="494"/>
      <c r="BY33" s="494"/>
      <c r="BZ33" s="494"/>
      <c r="CA33" s="494"/>
      <c r="CB33" s="494"/>
      <c r="CC33" s="494"/>
      <c r="CD33" s="494"/>
      <c r="CE33" s="494"/>
      <c r="CF33" s="494"/>
      <c r="CG33" s="494"/>
      <c r="CH33" s="494"/>
      <c r="CI33" s="494"/>
      <c r="CJ33" s="494"/>
      <c r="CK33" s="494"/>
      <c r="CL33" s="494"/>
      <c r="CM33" s="494"/>
      <c r="CN33" s="494"/>
      <c r="CO33" s="494"/>
      <c r="CP33" s="494"/>
      <c r="CQ33" s="494"/>
      <c r="CR33" s="494"/>
      <c r="CS33" s="494"/>
      <c r="CT33" s="494"/>
      <c r="CU33" s="494"/>
      <c r="CV33" s="494"/>
      <c r="CW33" s="494"/>
      <c r="CX33" s="494"/>
      <c r="CY33" s="494"/>
      <c r="CZ33" s="494"/>
      <c r="DA33" s="494"/>
      <c r="DB33" s="494"/>
      <c r="DC33" s="494"/>
      <c r="DD33" s="494"/>
      <c r="DE33" s="494"/>
      <c r="DF33" s="494"/>
      <c r="DG33" s="494"/>
      <c r="DH33" s="494"/>
      <c r="DI33" s="494"/>
      <c r="DJ33" s="494"/>
      <c r="DK33" s="494"/>
      <c r="DL33" s="494"/>
      <c r="DM33" s="494"/>
      <c r="DN33" s="494"/>
      <c r="DO33" s="494"/>
      <c r="DP33" s="494"/>
      <c r="DQ33" s="494"/>
      <c r="DR33" s="494"/>
      <c r="DS33" s="494"/>
      <c r="DT33" s="494"/>
      <c r="DU33" s="494"/>
      <c r="DV33" s="494"/>
      <c r="DW33" s="494"/>
      <c r="DX33" s="494"/>
      <c r="DY33" s="494"/>
      <c r="DZ33" s="494"/>
      <c r="EA33" s="494"/>
      <c r="EB33" s="494"/>
      <c r="EC33" s="494"/>
      <c r="ED33" s="494"/>
      <c r="EE33" s="494"/>
      <c r="EF33" s="494"/>
      <c r="EG33" s="494"/>
      <c r="EH33" s="494"/>
      <c r="EI33" s="494"/>
      <c r="EJ33" s="494"/>
      <c r="EK33" s="494"/>
      <c r="EL33" s="494"/>
      <c r="EM33" s="494"/>
      <c r="EN33" s="494"/>
      <c r="EO33" s="494"/>
      <c r="EP33" s="494"/>
      <c r="EQ33" s="494"/>
      <c r="ER33" s="494"/>
      <c r="ES33" s="494"/>
      <c r="ET33" s="494"/>
      <c r="EU33" s="494"/>
      <c r="EV33" s="494"/>
      <c r="EW33" s="494"/>
      <c r="EX33" s="494"/>
      <c r="EY33" s="494"/>
      <c r="EZ33" s="494"/>
      <c r="FA33" s="494"/>
      <c r="FB33" s="494"/>
      <c r="FC33" s="494"/>
      <c r="FD33" s="494"/>
      <c r="FE33" s="494"/>
      <c r="FF33" s="494"/>
      <c r="FG33" s="494"/>
      <c r="FH33" s="494"/>
      <c r="FI33" s="494"/>
      <c r="FJ33" s="494"/>
      <c r="FK33" s="494"/>
      <c r="FL33" s="494"/>
      <c r="FM33" s="494"/>
      <c r="FN33" s="494"/>
      <c r="FO33" s="494"/>
      <c r="FP33" s="494"/>
      <c r="FQ33" s="494"/>
      <c r="FR33" s="494"/>
      <c r="FS33" s="494"/>
      <c r="FT33" s="494"/>
      <c r="FU33" s="494"/>
      <c r="FV33" s="494"/>
      <c r="FW33" s="494"/>
      <c r="FX33" s="494"/>
      <c r="FY33" s="494"/>
      <c r="FZ33" s="494"/>
      <c r="GA33" s="494"/>
      <c r="GB33" s="494"/>
      <c r="GC33" s="494"/>
      <c r="GD33" s="494"/>
    </row>
    <row r="34" spans="1:186" s="100" customFormat="1" ht="18" customHeight="1">
      <c r="A34" s="551" t="str">
        <f>RESUM!I9</f>
        <v>H41</v>
      </c>
      <c r="B34" s="151">
        <f>RESUM!I11</f>
        <v>540</v>
      </c>
      <c r="C34" s="415">
        <f>RESUM!I15</f>
        <v>174.3</v>
      </c>
      <c r="D34" s="417">
        <f>E34*$B34*PI()/30000</f>
        <v>95.227956515613798</v>
      </c>
      <c r="E34" s="152">
        <f t="shared" si="11"/>
        <v>1684</v>
      </c>
      <c r="F34" s="153">
        <f t="shared" si="1"/>
        <v>57</v>
      </c>
      <c r="G34" s="154">
        <f>IF(AC34&lt;$L$13,AC34,$L$13)</f>
        <v>5436.9879942396938</v>
      </c>
      <c r="H34" s="152">
        <f t="shared" si="3"/>
        <v>802.80238470976576</v>
      </c>
      <c r="I34" s="415">
        <f t="shared" si="12"/>
        <v>249.19141738832019</v>
      </c>
      <c r="J34" s="417">
        <f t="shared" si="4"/>
        <v>141.57264922550488</v>
      </c>
      <c r="K34" s="152">
        <f t="shared" si="13"/>
        <v>1684</v>
      </c>
      <c r="L34" s="153">
        <f t="shared" si="5"/>
        <v>57.421781605089748</v>
      </c>
      <c r="M34" s="154">
        <f t="shared" si="14"/>
        <v>3332.325325068251</v>
      </c>
      <c r="N34" s="421">
        <f>RESUM!I32</f>
        <v>64.599999999999994</v>
      </c>
      <c r="O34" s="513">
        <f>'driving mode parameters'!I18</f>
        <v>0.95066194949810567</v>
      </c>
      <c r="P34" s="513">
        <f>'driving mode parameters'!I17</f>
        <v>0.82950755845365565</v>
      </c>
      <c r="Q34" s="514">
        <f>RESUM!I16</f>
        <v>57</v>
      </c>
      <c r="R34" s="515">
        <f>RESUM!I12</f>
        <v>1684</v>
      </c>
      <c r="S34" s="514">
        <f t="shared" si="15"/>
        <v>26</v>
      </c>
      <c r="T34" s="494"/>
      <c r="U34" s="515">
        <f t="shared" si="6"/>
        <v>802.80238470976576</v>
      </c>
      <c r="V34" s="515">
        <f t="shared" si="7"/>
        <v>249.19141738832019</v>
      </c>
      <c r="W34" s="515">
        <f t="shared" si="16"/>
        <v>616.29659267925081</v>
      </c>
      <c r="X34" s="515">
        <f t="shared" si="20"/>
        <v>2044.434035729915</v>
      </c>
      <c r="Y34" s="515">
        <f t="shared" si="21"/>
        <v>1395.2974468326431</v>
      </c>
      <c r="Z34" s="515">
        <f t="shared" si="9"/>
        <v>298.72290222916422</v>
      </c>
      <c r="AA34" s="515">
        <f t="shared" si="17"/>
        <v>3332.325325068251</v>
      </c>
      <c r="AB34" s="515">
        <f>AC34*(B34*E34/AC34/H34)^(1/(1+AD34))</f>
        <v>2285.5333133155473</v>
      </c>
      <c r="AC34" s="516">
        <f t="shared" si="18"/>
        <v>5436.9879942396938</v>
      </c>
      <c r="AD34" s="494">
        <f t="shared" si="19"/>
        <v>0.81</v>
      </c>
      <c r="AE34" s="494"/>
      <c r="AF34" s="494"/>
      <c r="AG34" s="494"/>
      <c r="AH34" s="494"/>
      <c r="AI34" s="494"/>
      <c r="AJ34" s="494"/>
      <c r="AK34" s="495"/>
      <c r="AL34" s="495"/>
      <c r="AM34" s="495"/>
      <c r="AN34" s="496"/>
      <c r="AO34" s="495"/>
      <c r="AP34" s="494"/>
      <c r="AQ34" s="494"/>
      <c r="AR34" s="494"/>
      <c r="AS34" s="494"/>
      <c r="AT34" s="494"/>
      <c r="AU34" s="494"/>
      <c r="AV34" s="494"/>
      <c r="AW34" s="494"/>
      <c r="AX34" s="494"/>
      <c r="AY34" s="494"/>
      <c r="AZ34" s="494"/>
      <c r="BA34" s="494"/>
      <c r="BB34" s="494"/>
      <c r="BC34" s="494"/>
      <c r="BD34" s="494"/>
      <c r="BE34" s="494"/>
      <c r="BF34" s="494"/>
      <c r="BG34" s="494"/>
      <c r="BH34" s="494"/>
      <c r="BI34" s="494"/>
      <c r="BJ34" s="494"/>
      <c r="BK34" s="494"/>
      <c r="BL34" s="494"/>
      <c r="BM34" s="494"/>
      <c r="BN34" s="494"/>
      <c r="BO34" s="494"/>
      <c r="BP34" s="494"/>
      <c r="BQ34" s="494"/>
      <c r="BR34" s="494"/>
      <c r="BS34" s="494"/>
      <c r="BT34" s="494"/>
      <c r="BU34" s="494"/>
      <c r="BV34" s="494"/>
      <c r="BW34" s="494"/>
      <c r="BX34" s="494"/>
      <c r="BY34" s="494"/>
      <c r="BZ34" s="494"/>
      <c r="CA34" s="494"/>
      <c r="CB34" s="494"/>
      <c r="CC34" s="494"/>
      <c r="CD34" s="494"/>
      <c r="CE34" s="494"/>
      <c r="CF34" s="494"/>
      <c r="CG34" s="494"/>
      <c r="CH34" s="494"/>
      <c r="CI34" s="494"/>
      <c r="CJ34" s="494"/>
      <c r="CK34" s="494"/>
      <c r="CL34" s="494"/>
      <c r="CM34" s="494"/>
      <c r="CN34" s="494"/>
      <c r="CO34" s="494"/>
      <c r="CP34" s="494"/>
      <c r="CQ34" s="494"/>
      <c r="CR34" s="494"/>
      <c r="CS34" s="494"/>
      <c r="CT34" s="494"/>
      <c r="CU34" s="494"/>
      <c r="CV34" s="494"/>
      <c r="CW34" s="494"/>
      <c r="CX34" s="494"/>
      <c r="CY34" s="494"/>
      <c r="CZ34" s="494"/>
      <c r="DA34" s="494"/>
      <c r="DB34" s="494"/>
      <c r="DC34" s="494"/>
      <c r="DD34" s="494"/>
      <c r="DE34" s="494"/>
      <c r="DF34" s="494"/>
      <c r="DG34" s="494"/>
      <c r="DH34" s="494"/>
      <c r="DI34" s="494"/>
      <c r="DJ34" s="494"/>
      <c r="DK34" s="494"/>
      <c r="DL34" s="494"/>
      <c r="DM34" s="494"/>
      <c r="DN34" s="494"/>
      <c r="DO34" s="494"/>
      <c r="DP34" s="494"/>
      <c r="DQ34" s="494"/>
      <c r="DR34" s="494"/>
      <c r="DS34" s="494"/>
      <c r="DT34" s="494"/>
      <c r="DU34" s="494"/>
      <c r="DV34" s="494"/>
      <c r="DW34" s="494"/>
      <c r="DX34" s="494"/>
      <c r="DY34" s="494"/>
      <c r="DZ34" s="494"/>
      <c r="EA34" s="494"/>
      <c r="EB34" s="494"/>
      <c r="EC34" s="494"/>
      <c r="ED34" s="494"/>
      <c r="EE34" s="494"/>
      <c r="EF34" s="494"/>
      <c r="EG34" s="494"/>
      <c r="EH34" s="494"/>
      <c r="EI34" s="494"/>
      <c r="EJ34" s="494"/>
      <c r="EK34" s="494"/>
      <c r="EL34" s="494"/>
      <c r="EM34" s="494"/>
      <c r="EN34" s="494"/>
      <c r="EO34" s="494"/>
      <c r="EP34" s="494"/>
      <c r="EQ34" s="494"/>
      <c r="ER34" s="494"/>
      <c r="ES34" s="494"/>
      <c r="ET34" s="494"/>
      <c r="EU34" s="494"/>
      <c r="EV34" s="494"/>
      <c r="EW34" s="494"/>
      <c r="EX34" s="494"/>
      <c r="EY34" s="494"/>
      <c r="EZ34" s="494"/>
      <c r="FA34" s="494"/>
      <c r="FB34" s="494"/>
      <c r="FC34" s="494"/>
      <c r="FD34" s="494"/>
      <c r="FE34" s="494"/>
      <c r="FF34" s="494"/>
      <c r="FG34" s="494"/>
      <c r="FH34" s="494"/>
      <c r="FI34" s="494"/>
      <c r="FJ34" s="494"/>
      <c r="FK34" s="494"/>
      <c r="FL34" s="494"/>
      <c r="FM34" s="494"/>
      <c r="FN34" s="494"/>
      <c r="FO34" s="494"/>
      <c r="FP34" s="494"/>
      <c r="FQ34" s="494"/>
      <c r="FR34" s="494"/>
      <c r="FS34" s="494"/>
      <c r="FT34" s="494"/>
      <c r="FU34" s="494"/>
      <c r="FV34" s="494"/>
      <c r="FW34" s="494"/>
      <c r="FX34" s="494"/>
      <c r="FY34" s="494"/>
      <c r="FZ34" s="494"/>
      <c r="GA34" s="494"/>
      <c r="GB34" s="494"/>
      <c r="GC34" s="494"/>
      <c r="GD34" s="494"/>
    </row>
    <row r="35" spans="1:186" s="100" customFormat="1" ht="18" customHeight="1">
      <c r="A35" s="551" t="str">
        <f>RESUM!J9</f>
        <v>I41</v>
      </c>
      <c r="B35" s="151">
        <f>RESUM!J11</f>
        <v>540</v>
      </c>
      <c r="C35" s="415">
        <f>RESUM!J15</f>
        <v>208.9</v>
      </c>
      <c r="D35" s="417">
        <f>E35*$B35*PI()/30000</f>
        <v>115.52892824311105</v>
      </c>
      <c r="E35" s="152">
        <f t="shared" si="11"/>
        <v>2043</v>
      </c>
      <c r="F35" s="153">
        <f t="shared" si="1"/>
        <v>69</v>
      </c>
      <c r="G35" s="154">
        <f t="shared" ref="G35:G40" si="22">IF(AC35&lt;$L$13,AC35,$L$13)</f>
        <v>6500</v>
      </c>
      <c r="H35" s="152">
        <f t="shared" si="3"/>
        <v>803.27251351402333</v>
      </c>
      <c r="I35" s="415">
        <f t="shared" si="12"/>
        <v>299.50903575685322</v>
      </c>
      <c r="J35" s="417">
        <f t="shared" si="4"/>
        <v>171.85409735819457</v>
      </c>
      <c r="K35" s="152">
        <f t="shared" si="13"/>
        <v>2043</v>
      </c>
      <c r="L35" s="153">
        <f t="shared" si="5"/>
        <v>69.43878752252337</v>
      </c>
      <c r="M35" s="154">
        <f t="shared" si="14"/>
        <v>4020.0585019595387</v>
      </c>
      <c r="N35" s="421">
        <f>RESUM!J32</f>
        <v>75.2</v>
      </c>
      <c r="O35" s="513">
        <f>'driving mode parameters'!J18</f>
        <v>0.95670493135244472</v>
      </c>
      <c r="P35" s="513">
        <f>'driving mode parameters'!J17</f>
        <v>0.83436037997508239</v>
      </c>
      <c r="Q35" s="514">
        <f>RESUM!J16</f>
        <v>69</v>
      </c>
      <c r="R35" s="515">
        <f>RESUM!J12</f>
        <v>2043</v>
      </c>
      <c r="S35" s="514">
        <f t="shared" si="15"/>
        <v>27</v>
      </c>
      <c r="T35" s="494"/>
      <c r="U35" s="515">
        <f t="shared" si="6"/>
        <v>803.27251351402333</v>
      </c>
      <c r="V35" s="515">
        <f t="shared" si="7"/>
        <v>299.50903575685322</v>
      </c>
      <c r="W35" s="515">
        <f t="shared" si="16"/>
        <v>741.69347260824225</v>
      </c>
      <c r="X35" s="515">
        <f t="shared" si="20"/>
        <v>2044.434035729915</v>
      </c>
      <c r="Y35" s="515">
        <f t="shared" si="21"/>
        <v>1689.0442777447786</v>
      </c>
      <c r="Z35" s="515">
        <f t="shared" si="9"/>
        <v>361.61193427740938</v>
      </c>
      <c r="AA35" s="515">
        <f t="shared" si="17"/>
        <v>4020.0585019595387</v>
      </c>
      <c r="AB35" s="515">
        <f>AC35*(B35*E35/AC35/H35)^(1/(1+AD35))</f>
        <v>2765.8034871433001</v>
      </c>
      <c r="AC35" s="516">
        <f t="shared" si="18"/>
        <v>6563.8288075413475</v>
      </c>
      <c r="AD35" s="494">
        <f t="shared" si="19"/>
        <v>0.81</v>
      </c>
      <c r="AE35" s="494"/>
      <c r="AF35" s="494"/>
      <c r="AG35" s="494"/>
      <c r="AH35" s="494"/>
      <c r="AI35" s="494"/>
      <c r="AJ35" s="494"/>
      <c r="AK35" s="495"/>
      <c r="AL35" s="495"/>
      <c r="AM35" s="495"/>
      <c r="AN35" s="496"/>
      <c r="AO35" s="495"/>
      <c r="AP35" s="494"/>
      <c r="AQ35" s="494"/>
      <c r="AR35" s="494"/>
      <c r="AS35" s="494"/>
      <c r="AT35" s="494"/>
      <c r="AU35" s="494"/>
      <c r="AV35" s="494"/>
      <c r="AW35" s="494"/>
      <c r="AX35" s="494"/>
      <c r="AY35" s="494"/>
      <c r="AZ35" s="494"/>
      <c r="BA35" s="494"/>
      <c r="BB35" s="494"/>
      <c r="BC35" s="494"/>
      <c r="BD35" s="494"/>
      <c r="BE35" s="494"/>
      <c r="BF35" s="494"/>
      <c r="BG35" s="494"/>
      <c r="BH35" s="494"/>
      <c r="BI35" s="494"/>
      <c r="BJ35" s="494"/>
      <c r="BK35" s="494"/>
      <c r="BL35" s="494"/>
      <c r="BM35" s="494"/>
      <c r="BN35" s="494"/>
      <c r="BO35" s="494"/>
      <c r="BP35" s="494"/>
      <c r="BQ35" s="494"/>
      <c r="BR35" s="494"/>
      <c r="BS35" s="494"/>
      <c r="BT35" s="494"/>
      <c r="BU35" s="494"/>
      <c r="BV35" s="494"/>
      <c r="BW35" s="494"/>
      <c r="BX35" s="494"/>
      <c r="BY35" s="494"/>
      <c r="BZ35" s="494"/>
      <c r="CA35" s="494"/>
      <c r="CB35" s="494"/>
      <c r="CC35" s="494"/>
      <c r="CD35" s="494"/>
      <c r="CE35" s="494"/>
      <c r="CF35" s="494"/>
      <c r="CG35" s="494"/>
      <c r="CH35" s="494"/>
      <c r="CI35" s="494"/>
      <c r="CJ35" s="494"/>
      <c r="CK35" s="494"/>
      <c r="CL35" s="494"/>
      <c r="CM35" s="494"/>
      <c r="CN35" s="494"/>
      <c r="CO35" s="494"/>
      <c r="CP35" s="494"/>
      <c r="CQ35" s="494"/>
      <c r="CR35" s="494"/>
      <c r="CS35" s="494"/>
      <c r="CT35" s="494"/>
      <c r="CU35" s="494"/>
      <c r="CV35" s="494"/>
      <c r="CW35" s="494"/>
      <c r="CX35" s="494"/>
      <c r="CY35" s="494"/>
      <c r="CZ35" s="494"/>
      <c r="DA35" s="494"/>
      <c r="DB35" s="494"/>
      <c r="DC35" s="494"/>
      <c r="DD35" s="494"/>
      <c r="DE35" s="494"/>
      <c r="DF35" s="494"/>
      <c r="DG35" s="494"/>
      <c r="DH35" s="494"/>
      <c r="DI35" s="494"/>
      <c r="DJ35" s="494"/>
      <c r="DK35" s="494"/>
      <c r="DL35" s="494"/>
      <c r="DM35" s="494"/>
      <c r="DN35" s="494"/>
      <c r="DO35" s="494"/>
      <c r="DP35" s="494"/>
      <c r="DQ35" s="494"/>
      <c r="DR35" s="494"/>
      <c r="DS35" s="494"/>
      <c r="DT35" s="494"/>
      <c r="DU35" s="494"/>
      <c r="DV35" s="494"/>
      <c r="DW35" s="494"/>
      <c r="DX35" s="494"/>
      <c r="DY35" s="494"/>
      <c r="DZ35" s="494"/>
      <c r="EA35" s="494"/>
      <c r="EB35" s="494"/>
      <c r="EC35" s="494"/>
      <c r="ED35" s="494"/>
      <c r="EE35" s="494"/>
      <c r="EF35" s="494"/>
      <c r="EG35" s="494"/>
      <c r="EH35" s="494"/>
      <c r="EI35" s="494"/>
      <c r="EJ35" s="494"/>
      <c r="EK35" s="494"/>
      <c r="EL35" s="494"/>
      <c r="EM35" s="494"/>
      <c r="EN35" s="494"/>
      <c r="EO35" s="494"/>
      <c r="EP35" s="494"/>
      <c r="EQ35" s="494"/>
      <c r="ER35" s="494"/>
      <c r="ES35" s="494"/>
      <c r="ET35" s="494"/>
      <c r="EU35" s="494"/>
      <c r="EV35" s="494"/>
      <c r="EW35" s="494"/>
      <c r="EX35" s="494"/>
      <c r="EY35" s="494"/>
      <c r="EZ35" s="494"/>
      <c r="FA35" s="494"/>
      <c r="FB35" s="494"/>
      <c r="FC35" s="494"/>
      <c r="FD35" s="494"/>
      <c r="FE35" s="494"/>
      <c r="FF35" s="494"/>
      <c r="FG35" s="494"/>
      <c r="FH35" s="494"/>
      <c r="FI35" s="494"/>
      <c r="FJ35" s="494"/>
      <c r="FK35" s="494"/>
      <c r="FL35" s="494"/>
      <c r="FM35" s="494"/>
      <c r="FN35" s="494"/>
      <c r="FO35" s="494"/>
      <c r="FP35" s="494"/>
      <c r="FQ35" s="494"/>
      <c r="FR35" s="494"/>
      <c r="FS35" s="494"/>
      <c r="FT35" s="494"/>
      <c r="FU35" s="494"/>
      <c r="FV35" s="494"/>
      <c r="FW35" s="494"/>
      <c r="FX35" s="494"/>
      <c r="FY35" s="494"/>
      <c r="FZ35" s="494"/>
      <c r="GA35" s="494"/>
      <c r="GB35" s="494"/>
      <c r="GC35" s="494"/>
      <c r="GD35" s="494"/>
    </row>
    <row r="36" spans="1:186" s="100" customFormat="1" ht="18" customHeight="1">
      <c r="A36" s="551" t="str">
        <f>RESUM!K9</f>
        <v>F42</v>
      </c>
      <c r="B36" s="151">
        <f>RESUM!K11</f>
        <v>520</v>
      </c>
      <c r="C36" s="415">
        <f>RESUM!K15</f>
        <v>219.3</v>
      </c>
      <c r="D36" s="417">
        <f>E36*$B36*PI()/30000</f>
        <v>121.10630240078413</v>
      </c>
      <c r="E36" s="152">
        <f t="shared" si="11"/>
        <v>2224</v>
      </c>
      <c r="F36" s="153">
        <f t="shared" si="1"/>
        <v>75</v>
      </c>
      <c r="G36" s="154">
        <f t="shared" si="22"/>
        <v>6500</v>
      </c>
      <c r="H36" s="152">
        <f t="shared" si="3"/>
        <v>773.24180476340916</v>
      </c>
      <c r="I36" s="415">
        <f t="shared" si="12"/>
        <v>313.86599449446578</v>
      </c>
      <c r="J36" s="417">
        <f t="shared" si="4"/>
        <v>180.08549199347215</v>
      </c>
      <c r="K36" s="152">
        <f t="shared" si="13"/>
        <v>2224</v>
      </c>
      <c r="L36" s="153">
        <f t="shared" si="5"/>
        <v>75.42206967460568</v>
      </c>
      <c r="M36" s="154">
        <f t="shared" si="14"/>
        <v>4768.4660897783669</v>
      </c>
      <c r="N36" s="421">
        <f>RESUM!K32</f>
        <v>80.400000000000006</v>
      </c>
      <c r="O36" s="513">
        <f>'driving mode parameters'!K18</f>
        <v>0.95945345093790591</v>
      </c>
      <c r="P36" s="513">
        <f>'driving mode parameters'!K17</f>
        <v>0.83077531715967501</v>
      </c>
      <c r="Q36" s="514">
        <f>RESUM!K16</f>
        <v>75</v>
      </c>
      <c r="R36" s="515">
        <f>RESUM!K12</f>
        <v>2224</v>
      </c>
      <c r="S36" s="514">
        <f t="shared" si="15"/>
        <v>26</v>
      </c>
      <c r="T36" s="494"/>
      <c r="U36" s="515">
        <f t="shared" si="6"/>
        <v>773.24180476340916</v>
      </c>
      <c r="V36" s="515">
        <f t="shared" si="7"/>
        <v>313.86599449446578</v>
      </c>
      <c r="W36" s="515">
        <f t="shared" si="16"/>
        <v>806.18512757582744</v>
      </c>
      <c r="X36" s="515">
        <f t="shared" si="20"/>
        <v>2044.434035729915</v>
      </c>
      <c r="Y36" s="515">
        <f t="shared" si="21"/>
        <v>1870.8906965319379</v>
      </c>
      <c r="Z36" s="515">
        <f t="shared" si="9"/>
        <v>400.54391261893915</v>
      </c>
      <c r="AA36" s="515">
        <f t="shared" si="17"/>
        <v>4768.4660897783669</v>
      </c>
      <c r="AB36" s="515">
        <f>AC36*(B36*E36/AC36/H36)^(1/(1+AD36))</f>
        <v>3128.751064352934</v>
      </c>
      <c r="AC36" s="516">
        <f t="shared" si="18"/>
        <v>7782.3281754517247</v>
      </c>
      <c r="AD36" s="494">
        <f t="shared" si="19"/>
        <v>0.81</v>
      </c>
      <c r="AE36" s="494"/>
      <c r="AF36" s="494"/>
      <c r="AG36" s="494"/>
      <c r="AH36" s="494"/>
      <c r="AI36" s="494"/>
      <c r="AJ36" s="494"/>
      <c r="AK36" s="495"/>
      <c r="AL36" s="495"/>
      <c r="AM36" s="495"/>
      <c r="AN36" s="496"/>
      <c r="AO36" s="495"/>
      <c r="AP36" s="494"/>
      <c r="AQ36" s="494"/>
      <c r="AR36" s="494"/>
      <c r="AS36" s="494"/>
      <c r="AT36" s="494"/>
      <c r="AU36" s="494"/>
      <c r="AV36" s="494"/>
      <c r="AW36" s="494"/>
      <c r="AX36" s="494"/>
      <c r="AY36" s="494"/>
      <c r="AZ36" s="494"/>
      <c r="BA36" s="494"/>
      <c r="BB36" s="494"/>
      <c r="BC36" s="494"/>
      <c r="BD36" s="494"/>
      <c r="BE36" s="494"/>
      <c r="BF36" s="494"/>
      <c r="BG36" s="494"/>
      <c r="BH36" s="494"/>
      <c r="BI36" s="494"/>
      <c r="BJ36" s="494"/>
      <c r="BK36" s="494"/>
      <c r="BL36" s="494"/>
      <c r="BM36" s="494"/>
      <c r="BN36" s="494"/>
      <c r="BO36" s="494"/>
      <c r="BP36" s="494"/>
      <c r="BQ36" s="494"/>
      <c r="BR36" s="494"/>
      <c r="BS36" s="494"/>
      <c r="BT36" s="494"/>
      <c r="BU36" s="494"/>
      <c r="BV36" s="494"/>
      <c r="BW36" s="494"/>
      <c r="BX36" s="494"/>
      <c r="BY36" s="494"/>
      <c r="BZ36" s="494"/>
      <c r="CA36" s="494"/>
      <c r="CB36" s="494"/>
      <c r="CC36" s="494"/>
      <c r="CD36" s="494"/>
      <c r="CE36" s="494"/>
      <c r="CF36" s="494"/>
      <c r="CG36" s="494"/>
      <c r="CH36" s="494"/>
      <c r="CI36" s="494"/>
      <c r="CJ36" s="494"/>
      <c r="CK36" s="494"/>
      <c r="CL36" s="494"/>
      <c r="CM36" s="494"/>
      <c r="CN36" s="494"/>
      <c r="CO36" s="494"/>
      <c r="CP36" s="494"/>
      <c r="CQ36" s="494"/>
      <c r="CR36" s="494"/>
      <c r="CS36" s="494"/>
      <c r="CT36" s="494"/>
      <c r="CU36" s="494"/>
      <c r="CV36" s="494"/>
      <c r="CW36" s="494"/>
      <c r="CX36" s="494"/>
      <c r="CY36" s="494"/>
      <c r="CZ36" s="494"/>
      <c r="DA36" s="494"/>
      <c r="DB36" s="494"/>
      <c r="DC36" s="494"/>
      <c r="DD36" s="494"/>
      <c r="DE36" s="494"/>
      <c r="DF36" s="494"/>
      <c r="DG36" s="494"/>
      <c r="DH36" s="494"/>
      <c r="DI36" s="494"/>
      <c r="DJ36" s="494"/>
      <c r="DK36" s="494"/>
      <c r="DL36" s="494"/>
      <c r="DM36" s="494"/>
      <c r="DN36" s="494"/>
      <c r="DO36" s="494"/>
      <c r="DP36" s="494"/>
      <c r="DQ36" s="494"/>
      <c r="DR36" s="494"/>
      <c r="DS36" s="494"/>
      <c r="DT36" s="494"/>
      <c r="DU36" s="494"/>
      <c r="DV36" s="494"/>
      <c r="DW36" s="494"/>
      <c r="DX36" s="494"/>
      <c r="DY36" s="494"/>
      <c r="DZ36" s="494"/>
      <c r="EA36" s="494"/>
      <c r="EB36" s="494"/>
      <c r="EC36" s="494"/>
      <c r="ED36" s="494"/>
      <c r="EE36" s="494"/>
      <c r="EF36" s="494"/>
      <c r="EG36" s="494"/>
      <c r="EH36" s="494"/>
      <c r="EI36" s="494"/>
      <c r="EJ36" s="494"/>
      <c r="EK36" s="494"/>
      <c r="EL36" s="494"/>
      <c r="EM36" s="494"/>
      <c r="EN36" s="494"/>
      <c r="EO36" s="494"/>
      <c r="EP36" s="494"/>
      <c r="EQ36" s="494"/>
      <c r="ER36" s="494"/>
      <c r="ES36" s="494"/>
      <c r="ET36" s="494"/>
      <c r="EU36" s="494"/>
      <c r="EV36" s="494"/>
      <c r="EW36" s="494"/>
      <c r="EX36" s="494"/>
      <c r="EY36" s="494"/>
      <c r="EZ36" s="494"/>
      <c r="FA36" s="494"/>
      <c r="FB36" s="494"/>
      <c r="FC36" s="494"/>
      <c r="FD36" s="494"/>
      <c r="FE36" s="494"/>
      <c r="FF36" s="494"/>
      <c r="FG36" s="494"/>
      <c r="FH36" s="494"/>
      <c r="FI36" s="494"/>
      <c r="FJ36" s="494"/>
      <c r="FK36" s="494"/>
      <c r="FL36" s="494"/>
      <c r="FM36" s="494"/>
      <c r="FN36" s="494"/>
      <c r="FO36" s="494"/>
      <c r="FP36" s="494"/>
      <c r="FQ36" s="494"/>
      <c r="FR36" s="494"/>
      <c r="FS36" s="494"/>
      <c r="FT36" s="494"/>
      <c r="FU36" s="494"/>
      <c r="FV36" s="494"/>
      <c r="FW36" s="494"/>
      <c r="FX36" s="494"/>
      <c r="FY36" s="494"/>
      <c r="FZ36" s="494"/>
      <c r="GA36" s="494"/>
      <c r="GB36" s="494"/>
      <c r="GC36" s="494"/>
      <c r="GD36" s="494"/>
    </row>
    <row r="37" spans="1:186" s="100" customFormat="1" ht="18" customHeight="1">
      <c r="A37" s="551" t="str">
        <f>RESUM!L9</f>
        <v>G42</v>
      </c>
      <c r="B37" s="151">
        <f>RESUM!L11</f>
        <v>500</v>
      </c>
      <c r="C37" s="415">
        <f>RESUM!L15</f>
        <v>242.9</v>
      </c>
      <c r="D37" s="417">
        <f>E37*$B37*PI()/30000</f>
        <v>133.77948716536534</v>
      </c>
      <c r="E37" s="152">
        <f t="shared" si="11"/>
        <v>2555</v>
      </c>
      <c r="F37" s="153">
        <f t="shared" si="1"/>
        <v>86</v>
      </c>
      <c r="G37" s="154">
        <f t="shared" si="22"/>
        <v>6500</v>
      </c>
      <c r="H37" s="152">
        <f t="shared" si="3"/>
        <v>743.07774426780077</v>
      </c>
      <c r="I37" s="415">
        <f t="shared" si="12"/>
        <v>346.68796849616808</v>
      </c>
      <c r="J37" s="417">
        <f t="shared" si="4"/>
        <v>198.81711910428578</v>
      </c>
      <c r="K37" s="152">
        <f>IF(E37&lt;M37,E37,M37)</f>
        <v>2555</v>
      </c>
      <c r="L37" s="153">
        <f t="shared" si="5"/>
        <v>86.405129573779675</v>
      </c>
      <c r="M37" s="154">
        <f t="shared" si="14"/>
        <v>5986.4669645365539</v>
      </c>
      <c r="N37" s="421">
        <f>RESUM!L32</f>
        <v>91.5</v>
      </c>
      <c r="O37" s="513">
        <f>'driving mode parameters'!L18</f>
        <v>0.96300124764482398</v>
      </c>
      <c r="P37" s="513">
        <f>'driving mode parameters'!L17</f>
        <v>0.82549518324016746</v>
      </c>
      <c r="Q37" s="514">
        <f>RESUM!L16</f>
        <v>86</v>
      </c>
      <c r="R37" s="515">
        <f>RESUM!L12</f>
        <v>2555</v>
      </c>
      <c r="S37" s="514">
        <f t="shared" si="15"/>
        <v>25</v>
      </c>
      <c r="T37" s="494"/>
      <c r="U37" s="515">
        <f t="shared" si="6"/>
        <v>743.07774426780077</v>
      </c>
      <c r="V37" s="515">
        <f t="shared" si="7"/>
        <v>346.68796849616808</v>
      </c>
      <c r="W37" s="515">
        <f t="shared" si="16"/>
        <v>924.56284975514939</v>
      </c>
      <c r="X37" s="515">
        <f t="shared" si="20"/>
        <v>2044.434035729915</v>
      </c>
      <c r="Y37" s="515">
        <f t="shared" si="21"/>
        <v>2187.773073519299</v>
      </c>
      <c r="Z37" s="515">
        <f t="shared" si="9"/>
        <v>468.3860946094681</v>
      </c>
      <c r="AA37" s="515">
        <f t="shared" si="17"/>
        <v>5986.4669645365539</v>
      </c>
      <c r="AB37" s="515">
        <f>AC37*(B37*E37/AC37/H37)^(1/(1+AD37))</f>
        <v>3740.0070539324583</v>
      </c>
      <c r="AC37" s="516">
        <f t="shared" si="18"/>
        <v>9763.2765230737368</v>
      </c>
      <c r="AD37" s="494">
        <f t="shared" si="19"/>
        <v>0.81</v>
      </c>
      <c r="AE37" s="494"/>
      <c r="AF37" s="494"/>
      <c r="AG37" s="494"/>
      <c r="AH37" s="494"/>
      <c r="AI37" s="494"/>
      <c r="AJ37" s="494"/>
      <c r="AK37" s="495"/>
      <c r="AL37" s="495"/>
      <c r="AM37" s="495"/>
      <c r="AN37" s="496"/>
      <c r="AO37" s="495"/>
      <c r="AP37" s="494"/>
      <c r="AQ37" s="494"/>
      <c r="AR37" s="494"/>
      <c r="AS37" s="494"/>
      <c r="AT37" s="494"/>
      <c r="AU37" s="494"/>
      <c r="AV37" s="494"/>
      <c r="AW37" s="494"/>
      <c r="AX37" s="494"/>
      <c r="AY37" s="494"/>
      <c r="AZ37" s="494"/>
      <c r="BA37" s="494"/>
      <c r="BB37" s="494"/>
      <c r="BC37" s="494"/>
      <c r="BD37" s="494"/>
      <c r="BE37" s="494"/>
      <c r="BF37" s="494"/>
      <c r="BG37" s="494"/>
      <c r="BH37" s="494"/>
      <c r="BI37" s="494"/>
      <c r="BJ37" s="494"/>
      <c r="BK37" s="494"/>
      <c r="BL37" s="494"/>
      <c r="BM37" s="494"/>
      <c r="BN37" s="494"/>
      <c r="BO37" s="494"/>
      <c r="BP37" s="494"/>
      <c r="BQ37" s="494"/>
      <c r="BR37" s="494"/>
      <c r="BS37" s="494"/>
      <c r="BT37" s="494"/>
      <c r="BU37" s="494"/>
      <c r="BV37" s="494"/>
      <c r="BW37" s="494"/>
      <c r="BX37" s="494"/>
      <c r="BY37" s="494"/>
      <c r="BZ37" s="494"/>
      <c r="CA37" s="494"/>
      <c r="CB37" s="494"/>
      <c r="CC37" s="494"/>
      <c r="CD37" s="494"/>
      <c r="CE37" s="494"/>
      <c r="CF37" s="494"/>
      <c r="CG37" s="494"/>
      <c r="CH37" s="494"/>
      <c r="CI37" s="494"/>
      <c r="CJ37" s="494"/>
      <c r="CK37" s="494"/>
      <c r="CL37" s="494"/>
      <c r="CM37" s="494"/>
      <c r="CN37" s="494"/>
      <c r="CO37" s="494"/>
      <c r="CP37" s="494"/>
      <c r="CQ37" s="494"/>
      <c r="CR37" s="494"/>
      <c r="CS37" s="494"/>
      <c r="CT37" s="494"/>
      <c r="CU37" s="494"/>
      <c r="CV37" s="494"/>
      <c r="CW37" s="494"/>
      <c r="CX37" s="494"/>
      <c r="CY37" s="494"/>
      <c r="CZ37" s="494"/>
      <c r="DA37" s="494"/>
      <c r="DB37" s="494"/>
      <c r="DC37" s="494"/>
      <c r="DD37" s="494"/>
      <c r="DE37" s="494"/>
      <c r="DF37" s="494"/>
      <c r="DG37" s="494"/>
      <c r="DH37" s="494"/>
      <c r="DI37" s="494"/>
      <c r="DJ37" s="494"/>
      <c r="DK37" s="494"/>
      <c r="DL37" s="494"/>
      <c r="DM37" s="494"/>
      <c r="DN37" s="494"/>
      <c r="DO37" s="494"/>
      <c r="DP37" s="494"/>
      <c r="DQ37" s="494"/>
      <c r="DR37" s="494"/>
      <c r="DS37" s="494"/>
      <c r="DT37" s="494"/>
      <c r="DU37" s="494"/>
      <c r="DV37" s="494"/>
      <c r="DW37" s="494"/>
      <c r="DX37" s="494"/>
      <c r="DY37" s="494"/>
      <c r="DZ37" s="494"/>
      <c r="EA37" s="494"/>
      <c r="EB37" s="494"/>
      <c r="EC37" s="494"/>
      <c r="ED37" s="494"/>
      <c r="EE37" s="494"/>
      <c r="EF37" s="494"/>
      <c r="EG37" s="494"/>
      <c r="EH37" s="494"/>
      <c r="EI37" s="494"/>
      <c r="EJ37" s="494"/>
      <c r="EK37" s="494"/>
      <c r="EL37" s="494"/>
      <c r="EM37" s="494"/>
      <c r="EN37" s="494"/>
      <c r="EO37" s="494"/>
      <c r="EP37" s="494"/>
      <c r="EQ37" s="494"/>
      <c r="ER37" s="494"/>
      <c r="ES37" s="494"/>
      <c r="ET37" s="494"/>
      <c r="EU37" s="494"/>
      <c r="EV37" s="494"/>
      <c r="EW37" s="494"/>
      <c r="EX37" s="494"/>
      <c r="EY37" s="494"/>
      <c r="EZ37" s="494"/>
      <c r="FA37" s="494"/>
      <c r="FB37" s="494"/>
      <c r="FC37" s="494"/>
      <c r="FD37" s="494"/>
      <c r="FE37" s="494"/>
      <c r="FF37" s="494"/>
      <c r="FG37" s="494"/>
      <c r="FH37" s="494"/>
      <c r="FI37" s="494"/>
      <c r="FJ37" s="494"/>
      <c r="FK37" s="494"/>
      <c r="FL37" s="494"/>
      <c r="FM37" s="494"/>
      <c r="FN37" s="494"/>
      <c r="FO37" s="494"/>
      <c r="FP37" s="494"/>
      <c r="FQ37" s="494"/>
      <c r="FR37" s="494"/>
      <c r="FS37" s="494"/>
      <c r="FT37" s="494"/>
      <c r="FU37" s="494"/>
      <c r="FV37" s="494"/>
      <c r="FW37" s="494"/>
      <c r="FX37" s="494"/>
      <c r="FY37" s="494"/>
      <c r="FZ37" s="494"/>
      <c r="GA37" s="494"/>
      <c r="GB37" s="494"/>
      <c r="GC37" s="494"/>
      <c r="GD37" s="494"/>
    </row>
    <row r="38" spans="1:186" s="100" customFormat="1" ht="18" customHeight="1">
      <c r="A38" s="551" t="str">
        <f>RESUM!M9</f>
        <v>H42</v>
      </c>
      <c r="B38" s="151">
        <f>RESUM!M11</f>
        <v>480</v>
      </c>
      <c r="C38" s="415">
        <f>RESUM!M15</f>
        <v>274.60000000000002</v>
      </c>
      <c r="D38" s="417">
        <f>E38*$B38*PI()/30000</f>
        <v>149.59007579333158</v>
      </c>
      <c r="E38" s="152">
        <f t="shared" si="11"/>
        <v>2976</v>
      </c>
      <c r="F38" s="153">
        <f t="shared" si="1"/>
        <v>100</v>
      </c>
      <c r="G38" s="154">
        <f t="shared" si="22"/>
        <v>6500</v>
      </c>
      <c r="H38" s="152">
        <f t="shared" si="3"/>
        <v>712.31346394614638</v>
      </c>
      <c r="I38" s="415">
        <f t="shared" si="12"/>
        <v>389.24492289559799</v>
      </c>
      <c r="J38" s="417">
        <f t="shared" si="4"/>
        <v>221.98963554232211</v>
      </c>
      <c r="K38" s="152">
        <f>IF(E38&lt;M38,E38,M38)</f>
        <v>2976</v>
      </c>
      <c r="L38" s="153">
        <f t="shared" si="5"/>
        <v>100.38718910657691</v>
      </c>
      <c r="M38" s="154">
        <f t="shared" si="14"/>
        <v>6500</v>
      </c>
      <c r="N38" s="421">
        <f>RESUM!M32</f>
        <v>110</v>
      </c>
      <c r="O38" s="513">
        <f>'driving mode parameters'!M18</f>
        <v>0.96589487818245279</v>
      </c>
      <c r="P38" s="513">
        <f>'driving mode parameters'!M17</f>
        <v>0.81405128743680499</v>
      </c>
      <c r="Q38" s="514">
        <f>RESUM!M16</f>
        <v>100</v>
      </c>
      <c r="R38" s="515">
        <f>RESUM!M12</f>
        <v>2976</v>
      </c>
      <c r="S38" s="514">
        <f t="shared" si="15"/>
        <v>24</v>
      </c>
      <c r="T38" s="494"/>
      <c r="U38" s="515">
        <f t="shared" si="6"/>
        <v>712.31346394614638</v>
      </c>
      <c r="V38" s="515">
        <f t="shared" si="7"/>
        <v>389.24492289559799</v>
      </c>
      <c r="W38" s="515">
        <f t="shared" si="16"/>
        <v>1077.2769080377625</v>
      </c>
      <c r="X38" s="515">
        <f t="shared" si="20"/>
        <v>2044.434035729915</v>
      </c>
      <c r="Y38" s="515">
        <f t="shared" si="21"/>
        <v>2596.3797011253637</v>
      </c>
      <c r="Z38" s="515">
        <f t="shared" si="9"/>
        <v>555.86576279465282</v>
      </c>
      <c r="AA38" s="515">
        <f t="shared" si="17"/>
        <v>7660.1369744973636</v>
      </c>
      <c r="AB38" s="515">
        <f>AC38*(B38*E38/AC38/H38)^(1/(1+AD38))</f>
        <v>4543.4286582014902</v>
      </c>
      <c r="AC38" s="516">
        <f t="shared" si="18"/>
        <v>12470.343231221375</v>
      </c>
      <c r="AD38" s="494">
        <f t="shared" si="19"/>
        <v>0.81</v>
      </c>
      <c r="AE38" s="494"/>
      <c r="AF38" s="494"/>
      <c r="AG38" s="494"/>
      <c r="AH38" s="494"/>
      <c r="AI38" s="494"/>
      <c r="AJ38" s="494"/>
      <c r="AK38" s="495"/>
      <c r="AL38" s="495"/>
      <c r="AM38" s="495"/>
      <c r="AN38" s="496"/>
      <c r="AO38" s="495"/>
      <c r="AP38" s="494"/>
      <c r="AQ38" s="494"/>
      <c r="AR38" s="494"/>
      <c r="AS38" s="494"/>
      <c r="AT38" s="494"/>
      <c r="AU38" s="494"/>
      <c r="AV38" s="494"/>
      <c r="AW38" s="494"/>
      <c r="AX38" s="494"/>
      <c r="AY38" s="494"/>
      <c r="AZ38" s="494"/>
      <c r="BA38" s="494"/>
      <c r="BB38" s="494"/>
      <c r="BC38" s="494"/>
      <c r="BD38" s="494"/>
      <c r="BE38" s="494"/>
      <c r="BF38" s="494"/>
      <c r="BG38" s="494"/>
      <c r="BH38" s="494"/>
      <c r="BI38" s="494"/>
      <c r="BJ38" s="494"/>
      <c r="BK38" s="494"/>
      <c r="BL38" s="494"/>
      <c r="BM38" s="494"/>
      <c r="BN38" s="494"/>
      <c r="BO38" s="494"/>
      <c r="BP38" s="494"/>
      <c r="BQ38" s="494"/>
      <c r="BR38" s="494"/>
      <c r="BS38" s="494"/>
      <c r="BT38" s="494"/>
      <c r="BU38" s="494"/>
      <c r="BV38" s="494"/>
      <c r="BW38" s="494"/>
      <c r="BX38" s="494"/>
      <c r="BY38" s="494"/>
      <c r="BZ38" s="494"/>
      <c r="CA38" s="494"/>
      <c r="CB38" s="494"/>
      <c r="CC38" s="494"/>
      <c r="CD38" s="494"/>
      <c r="CE38" s="494"/>
      <c r="CF38" s="494"/>
      <c r="CG38" s="494"/>
      <c r="CH38" s="494"/>
      <c r="CI38" s="494"/>
      <c r="CJ38" s="494"/>
      <c r="CK38" s="494"/>
      <c r="CL38" s="494"/>
      <c r="CM38" s="494"/>
      <c r="CN38" s="494"/>
      <c r="CO38" s="494"/>
      <c r="CP38" s="494"/>
      <c r="CQ38" s="494"/>
      <c r="CR38" s="494"/>
      <c r="CS38" s="494"/>
      <c r="CT38" s="494"/>
      <c r="CU38" s="494"/>
      <c r="CV38" s="494"/>
      <c r="CW38" s="494"/>
      <c r="CX38" s="494"/>
      <c r="CY38" s="494"/>
      <c r="CZ38" s="494"/>
      <c r="DA38" s="494"/>
      <c r="DB38" s="494"/>
      <c r="DC38" s="494"/>
      <c r="DD38" s="494"/>
      <c r="DE38" s="494"/>
      <c r="DF38" s="494"/>
      <c r="DG38" s="494"/>
      <c r="DH38" s="494"/>
      <c r="DI38" s="494"/>
      <c r="DJ38" s="494"/>
      <c r="DK38" s="494"/>
      <c r="DL38" s="494"/>
      <c r="DM38" s="494"/>
      <c r="DN38" s="494"/>
      <c r="DO38" s="494"/>
      <c r="DP38" s="494"/>
      <c r="DQ38" s="494"/>
      <c r="DR38" s="494"/>
      <c r="DS38" s="494"/>
      <c r="DT38" s="494"/>
      <c r="DU38" s="494"/>
      <c r="DV38" s="494"/>
      <c r="DW38" s="494"/>
      <c r="DX38" s="494"/>
      <c r="DY38" s="494"/>
      <c r="DZ38" s="494"/>
      <c r="EA38" s="494"/>
      <c r="EB38" s="494"/>
      <c r="EC38" s="494"/>
      <c r="ED38" s="494"/>
      <c r="EE38" s="494"/>
      <c r="EF38" s="494"/>
      <c r="EG38" s="494"/>
      <c r="EH38" s="494"/>
      <c r="EI38" s="494"/>
      <c r="EJ38" s="494"/>
      <c r="EK38" s="494"/>
      <c r="EL38" s="494"/>
      <c r="EM38" s="494"/>
      <c r="EN38" s="494"/>
      <c r="EO38" s="494"/>
      <c r="EP38" s="494"/>
      <c r="EQ38" s="494"/>
      <c r="ER38" s="494"/>
      <c r="ES38" s="494"/>
      <c r="ET38" s="494"/>
      <c r="EU38" s="494"/>
      <c r="EV38" s="494"/>
      <c r="EW38" s="494"/>
      <c r="EX38" s="494"/>
      <c r="EY38" s="494"/>
      <c r="EZ38" s="494"/>
      <c r="FA38" s="494"/>
      <c r="FB38" s="494"/>
      <c r="FC38" s="494"/>
      <c r="FD38" s="494"/>
      <c r="FE38" s="494"/>
      <c r="FF38" s="494"/>
      <c r="FG38" s="494"/>
      <c r="FH38" s="494"/>
      <c r="FI38" s="494"/>
      <c r="FJ38" s="494"/>
      <c r="FK38" s="494"/>
      <c r="FL38" s="494"/>
      <c r="FM38" s="494"/>
      <c r="FN38" s="494"/>
      <c r="FO38" s="494"/>
      <c r="FP38" s="494"/>
      <c r="FQ38" s="494"/>
      <c r="FR38" s="494"/>
      <c r="FS38" s="494"/>
      <c r="FT38" s="494"/>
      <c r="FU38" s="494"/>
      <c r="FV38" s="494"/>
      <c r="FW38" s="494"/>
      <c r="FX38" s="494"/>
      <c r="FY38" s="494"/>
      <c r="FZ38" s="494"/>
      <c r="GA38" s="494"/>
      <c r="GB38" s="494"/>
      <c r="GC38" s="494"/>
      <c r="GD38" s="494"/>
    </row>
    <row r="39" spans="1:186" s="100" customFormat="1" ht="18" customHeight="1">
      <c r="A39" s="455">
        <f>RESUM!N9</f>
        <v>0</v>
      </c>
      <c r="B39" s="456">
        <f>RESUM!N11</f>
        <v>0</v>
      </c>
      <c r="C39" s="457">
        <f>RESUM!N15</f>
        <v>0</v>
      </c>
      <c r="D39" s="458">
        <f t="shared" ref="D39:D40" si="23">E39*$B39*PI()/30000</f>
        <v>0</v>
      </c>
      <c r="E39" s="459">
        <f t="shared" si="11"/>
        <v>0</v>
      </c>
      <c r="F39" s="460">
        <f t="shared" si="1"/>
        <v>0</v>
      </c>
      <c r="G39" s="461" t="e">
        <f t="shared" si="22"/>
        <v>#DIV/0!</v>
      </c>
      <c r="H39" s="459" t="e">
        <f t="shared" si="3"/>
        <v>#DIV/0!</v>
      </c>
      <c r="I39" s="457" t="e">
        <f t="shared" si="12"/>
        <v>#DIV/0!</v>
      </c>
      <c r="J39" s="458" t="e">
        <f t="shared" si="4"/>
        <v>#DIV/0!</v>
      </c>
      <c r="K39" s="459" t="e">
        <f t="shared" ref="K39:K40" si="24">IF(E39&lt;M39,E39,M39)</f>
        <v>#DIV/0!</v>
      </c>
      <c r="L39" s="460" t="e">
        <f t="shared" si="5"/>
        <v>#DIV/0!</v>
      </c>
      <c r="M39" s="461" t="e">
        <f t="shared" si="14"/>
        <v>#DIV/0!</v>
      </c>
      <c r="N39" s="462">
        <f>RESUM!N32</f>
        <v>0</v>
      </c>
      <c r="O39" s="513" t="e">
        <f>'driving mode parameters'!N18</f>
        <v>#DIV/0!</v>
      </c>
      <c r="P39" s="513" t="e">
        <f>'driving mode parameters'!N17</f>
        <v>#DIV/0!</v>
      </c>
      <c r="Q39" s="514">
        <f>RESUM!N16</f>
        <v>0</v>
      </c>
      <c r="R39" s="515">
        <f>RESUM!N12</f>
        <v>0</v>
      </c>
      <c r="S39" s="514">
        <f t="shared" si="15"/>
        <v>0</v>
      </c>
      <c r="T39" s="494"/>
      <c r="U39" s="515" t="e">
        <f t="shared" si="6"/>
        <v>#DIV/0!</v>
      </c>
      <c r="V39" s="515">
        <f t="shared" si="7"/>
        <v>0</v>
      </c>
      <c r="W39" s="515" t="e">
        <f t="shared" si="16"/>
        <v>#DIV/0!</v>
      </c>
      <c r="X39" s="515">
        <f t="shared" si="20"/>
        <v>2044.434035729915</v>
      </c>
      <c r="Y39" s="515" t="e">
        <f t="shared" si="21"/>
        <v>#DIV/0!</v>
      </c>
      <c r="Z39" s="515" t="e">
        <f t="shared" si="9"/>
        <v>#DIV/0!</v>
      </c>
      <c r="AA39" s="515" t="e">
        <f t="shared" si="17"/>
        <v>#DIV/0!</v>
      </c>
      <c r="AB39" s="515" t="e">
        <f t="shared" ref="AB39:AB40" si="25">AC39*(B39*E39/AC39/H39)^(1/(1+AD39))</f>
        <v>#DIV/0!</v>
      </c>
      <c r="AC39" s="516" t="e">
        <f t="shared" si="18"/>
        <v>#DIV/0!</v>
      </c>
      <c r="AD39" s="494">
        <f t="shared" si="19"/>
        <v>0.81</v>
      </c>
      <c r="AE39" s="494"/>
      <c r="AF39" s="494"/>
      <c r="AG39" s="494"/>
      <c r="AH39" s="494"/>
      <c r="AI39" s="494"/>
      <c r="AJ39" s="494"/>
      <c r="AK39" s="495"/>
      <c r="AL39" s="495"/>
      <c r="AM39" s="495"/>
      <c r="AN39" s="496"/>
      <c r="AO39" s="495"/>
      <c r="AP39" s="494"/>
      <c r="AQ39" s="494"/>
      <c r="AR39" s="494"/>
      <c r="AS39" s="494"/>
      <c r="AT39" s="494"/>
      <c r="AU39" s="494"/>
      <c r="AV39" s="494"/>
      <c r="AW39" s="494"/>
      <c r="AX39" s="494"/>
      <c r="AY39" s="494"/>
      <c r="AZ39" s="494"/>
      <c r="BA39" s="494"/>
      <c r="BB39" s="494"/>
      <c r="BC39" s="494"/>
      <c r="BD39" s="494"/>
      <c r="BE39" s="494"/>
      <c r="BF39" s="494"/>
      <c r="BG39" s="494"/>
      <c r="BH39" s="494"/>
      <c r="BI39" s="494"/>
      <c r="BJ39" s="494"/>
      <c r="BK39" s="494"/>
      <c r="BL39" s="494"/>
      <c r="BM39" s="494"/>
      <c r="BN39" s="494"/>
      <c r="BO39" s="494"/>
      <c r="BP39" s="494"/>
      <c r="BQ39" s="494"/>
      <c r="BR39" s="494"/>
      <c r="BS39" s="494"/>
      <c r="BT39" s="494"/>
      <c r="BU39" s="494"/>
      <c r="BV39" s="494"/>
      <c r="BW39" s="494"/>
      <c r="BX39" s="494"/>
      <c r="BY39" s="494"/>
      <c r="BZ39" s="494"/>
      <c r="CA39" s="494"/>
      <c r="CB39" s="494"/>
      <c r="CC39" s="494"/>
      <c r="CD39" s="494"/>
      <c r="CE39" s="494"/>
      <c r="CF39" s="494"/>
      <c r="CG39" s="494"/>
      <c r="CH39" s="494"/>
      <c r="CI39" s="494"/>
      <c r="CJ39" s="494"/>
      <c r="CK39" s="494"/>
      <c r="CL39" s="494"/>
      <c r="CM39" s="494"/>
      <c r="CN39" s="494"/>
      <c r="CO39" s="494"/>
      <c r="CP39" s="494"/>
      <c r="CQ39" s="494"/>
      <c r="CR39" s="494"/>
      <c r="CS39" s="494"/>
      <c r="CT39" s="494"/>
      <c r="CU39" s="494"/>
      <c r="CV39" s="494"/>
      <c r="CW39" s="494"/>
      <c r="CX39" s="494"/>
      <c r="CY39" s="494"/>
      <c r="CZ39" s="494"/>
      <c r="DA39" s="494"/>
      <c r="DB39" s="494"/>
      <c r="DC39" s="494"/>
      <c r="DD39" s="494"/>
      <c r="DE39" s="494"/>
      <c r="DF39" s="494"/>
      <c r="DG39" s="494"/>
      <c r="DH39" s="494"/>
      <c r="DI39" s="494"/>
      <c r="DJ39" s="494"/>
      <c r="DK39" s="494"/>
      <c r="DL39" s="494"/>
      <c r="DM39" s="494"/>
      <c r="DN39" s="494"/>
      <c r="DO39" s="494"/>
      <c r="DP39" s="494"/>
      <c r="DQ39" s="494"/>
      <c r="DR39" s="494"/>
      <c r="DS39" s="494"/>
      <c r="DT39" s="494"/>
      <c r="DU39" s="494"/>
      <c r="DV39" s="494"/>
      <c r="DW39" s="494"/>
      <c r="DX39" s="494"/>
      <c r="DY39" s="494"/>
      <c r="DZ39" s="494"/>
      <c r="EA39" s="494"/>
      <c r="EB39" s="494"/>
      <c r="EC39" s="494"/>
      <c r="ED39" s="494"/>
      <c r="EE39" s="494"/>
      <c r="EF39" s="494"/>
      <c r="EG39" s="494"/>
      <c r="EH39" s="494"/>
      <c r="EI39" s="494"/>
      <c r="EJ39" s="494"/>
      <c r="EK39" s="494"/>
      <c r="EL39" s="494"/>
      <c r="EM39" s="494"/>
      <c r="EN39" s="494"/>
      <c r="EO39" s="494"/>
      <c r="EP39" s="494"/>
      <c r="EQ39" s="494"/>
      <c r="ER39" s="494"/>
      <c r="ES39" s="494"/>
      <c r="ET39" s="494"/>
      <c r="EU39" s="494"/>
      <c r="EV39" s="494"/>
      <c r="EW39" s="494"/>
      <c r="EX39" s="494"/>
      <c r="EY39" s="494"/>
      <c r="EZ39" s="494"/>
      <c r="FA39" s="494"/>
      <c r="FB39" s="494"/>
      <c r="FC39" s="494"/>
      <c r="FD39" s="494"/>
      <c r="FE39" s="494"/>
      <c r="FF39" s="494"/>
      <c r="FG39" s="494"/>
      <c r="FH39" s="494"/>
      <c r="FI39" s="494"/>
      <c r="FJ39" s="494"/>
      <c r="FK39" s="494"/>
      <c r="FL39" s="494"/>
      <c r="FM39" s="494"/>
      <c r="FN39" s="494"/>
      <c r="FO39" s="494"/>
      <c r="FP39" s="494"/>
      <c r="FQ39" s="494"/>
      <c r="FR39" s="494"/>
      <c r="FS39" s="494"/>
      <c r="FT39" s="494"/>
      <c r="FU39" s="494"/>
      <c r="FV39" s="494"/>
      <c r="FW39" s="494"/>
      <c r="FX39" s="494"/>
      <c r="FY39" s="494"/>
      <c r="FZ39" s="494"/>
      <c r="GA39" s="494"/>
      <c r="GB39" s="494"/>
      <c r="GC39" s="494"/>
      <c r="GD39" s="494"/>
    </row>
    <row r="40" spans="1:186" s="434" customFormat="1" ht="18" customHeight="1" thickBot="1">
      <c r="A40" s="463">
        <f>RESUM!O9</f>
        <v>0</v>
      </c>
      <c r="B40" s="464">
        <f>RESUM!O11</f>
        <v>0</v>
      </c>
      <c r="C40" s="465">
        <f>RESUM!O15</f>
        <v>0</v>
      </c>
      <c r="D40" s="466">
        <f t="shared" si="23"/>
        <v>0</v>
      </c>
      <c r="E40" s="467">
        <f t="shared" si="11"/>
        <v>0</v>
      </c>
      <c r="F40" s="468">
        <f t="shared" si="1"/>
        <v>0</v>
      </c>
      <c r="G40" s="469" t="e">
        <f t="shared" si="22"/>
        <v>#DIV/0!</v>
      </c>
      <c r="H40" s="467" t="e">
        <f t="shared" si="3"/>
        <v>#DIV/0!</v>
      </c>
      <c r="I40" s="465" t="e">
        <f t="shared" si="12"/>
        <v>#DIV/0!</v>
      </c>
      <c r="J40" s="466" t="e">
        <f t="shared" si="4"/>
        <v>#DIV/0!</v>
      </c>
      <c r="K40" s="467" t="e">
        <f t="shared" si="24"/>
        <v>#DIV/0!</v>
      </c>
      <c r="L40" s="468" t="e">
        <f t="shared" si="5"/>
        <v>#DIV/0!</v>
      </c>
      <c r="M40" s="469" t="e">
        <f t="shared" si="14"/>
        <v>#DIV/0!</v>
      </c>
      <c r="N40" s="470">
        <f>RESUM!O32</f>
        <v>0</v>
      </c>
      <c r="O40" s="513" t="e">
        <f>'driving mode parameters'!O18</f>
        <v>#DIV/0!</v>
      </c>
      <c r="P40" s="513" t="e">
        <f>'driving mode parameters'!O17</f>
        <v>#DIV/0!</v>
      </c>
      <c r="Q40" s="514">
        <f>RESUM!O16</f>
        <v>0</v>
      </c>
      <c r="R40" s="515">
        <f>RESUM!O12</f>
        <v>0</v>
      </c>
      <c r="S40" s="514">
        <f t="shared" si="15"/>
        <v>0</v>
      </c>
      <c r="T40" s="494"/>
      <c r="U40" s="515" t="e">
        <f t="shared" si="6"/>
        <v>#DIV/0!</v>
      </c>
      <c r="V40" s="515">
        <f t="shared" si="7"/>
        <v>0</v>
      </c>
      <c r="W40" s="515" t="e">
        <f t="shared" si="16"/>
        <v>#DIV/0!</v>
      </c>
      <c r="X40" s="515">
        <f t="shared" si="20"/>
        <v>2044.434035729915</v>
      </c>
      <c r="Y40" s="515" t="e">
        <f t="shared" si="21"/>
        <v>#DIV/0!</v>
      </c>
      <c r="Z40" s="515" t="e">
        <f t="shared" si="9"/>
        <v>#DIV/0!</v>
      </c>
      <c r="AA40" s="515" t="e">
        <f t="shared" si="17"/>
        <v>#DIV/0!</v>
      </c>
      <c r="AB40" s="515" t="e">
        <f t="shared" si="25"/>
        <v>#DIV/0!</v>
      </c>
      <c r="AC40" s="516" t="e">
        <f t="shared" si="18"/>
        <v>#DIV/0!</v>
      </c>
      <c r="AD40" s="494">
        <f t="shared" si="19"/>
        <v>0.81</v>
      </c>
      <c r="AE40" s="494"/>
      <c r="AF40" s="494"/>
      <c r="AG40" s="494"/>
      <c r="AH40" s="494"/>
      <c r="AI40" s="494"/>
      <c r="AJ40" s="494"/>
      <c r="AK40" s="495"/>
      <c r="AL40" s="495"/>
      <c r="AM40" s="495"/>
      <c r="AN40" s="496"/>
      <c r="AO40" s="495"/>
      <c r="AP40" s="494"/>
      <c r="AQ40" s="494"/>
      <c r="AR40" s="494"/>
      <c r="AS40" s="494"/>
      <c r="AT40" s="494"/>
      <c r="AU40" s="494"/>
      <c r="AV40" s="494"/>
      <c r="AW40" s="494"/>
      <c r="AX40" s="494"/>
      <c r="AY40" s="494"/>
      <c r="AZ40" s="494"/>
      <c r="BA40" s="494"/>
      <c r="BB40" s="494"/>
      <c r="BC40" s="494"/>
      <c r="BD40" s="494"/>
      <c r="BE40" s="494"/>
      <c r="BF40" s="494"/>
      <c r="BG40" s="494"/>
      <c r="BH40" s="494"/>
      <c r="BI40" s="494"/>
      <c r="BJ40" s="494"/>
      <c r="BK40" s="494"/>
      <c r="BL40" s="494"/>
      <c r="BM40" s="494"/>
      <c r="BN40" s="494"/>
      <c r="BO40" s="494"/>
      <c r="BP40" s="494"/>
      <c r="BQ40" s="494"/>
      <c r="BR40" s="494"/>
      <c r="BS40" s="494"/>
      <c r="BT40" s="494"/>
      <c r="BU40" s="494"/>
      <c r="BV40" s="494"/>
      <c r="BW40" s="494"/>
      <c r="BX40" s="494"/>
      <c r="BY40" s="494"/>
      <c r="BZ40" s="494"/>
      <c r="CA40" s="494"/>
      <c r="CB40" s="494"/>
      <c r="CC40" s="494"/>
      <c r="CD40" s="494"/>
      <c r="CE40" s="494"/>
      <c r="CF40" s="494"/>
      <c r="CG40" s="494"/>
      <c r="CH40" s="494"/>
      <c r="CI40" s="494"/>
      <c r="CJ40" s="494"/>
      <c r="CK40" s="494"/>
      <c r="CL40" s="494"/>
      <c r="CM40" s="494"/>
      <c r="CN40" s="494"/>
      <c r="CO40" s="494"/>
      <c r="CP40" s="494"/>
      <c r="CQ40" s="494"/>
      <c r="CR40" s="494"/>
      <c r="CS40" s="494"/>
      <c r="CT40" s="494"/>
      <c r="CU40" s="494"/>
      <c r="CV40" s="494"/>
      <c r="CW40" s="494"/>
      <c r="CX40" s="494"/>
      <c r="CY40" s="494"/>
      <c r="CZ40" s="494"/>
      <c r="DA40" s="494"/>
      <c r="DB40" s="494"/>
      <c r="DC40" s="494"/>
      <c r="DD40" s="494"/>
      <c r="DE40" s="494"/>
      <c r="DF40" s="494"/>
      <c r="DG40" s="494"/>
      <c r="DH40" s="494"/>
      <c r="DI40" s="494"/>
      <c r="DJ40" s="494"/>
      <c r="DK40" s="494"/>
      <c r="DL40" s="494"/>
      <c r="DM40" s="494"/>
      <c r="DN40" s="494"/>
      <c r="DO40" s="494"/>
      <c r="DP40" s="494"/>
      <c r="DQ40" s="494"/>
      <c r="DR40" s="494"/>
      <c r="DS40" s="494"/>
      <c r="DT40" s="494"/>
      <c r="DU40" s="494"/>
      <c r="DV40" s="494"/>
      <c r="DW40" s="494"/>
      <c r="DX40" s="494"/>
      <c r="DY40" s="494"/>
      <c r="DZ40" s="494"/>
      <c r="EA40" s="494"/>
      <c r="EB40" s="494"/>
      <c r="EC40" s="494"/>
      <c r="ED40" s="494"/>
      <c r="EE40" s="494"/>
      <c r="EF40" s="494"/>
      <c r="EG40" s="494"/>
      <c r="EH40" s="494"/>
      <c r="EI40" s="494"/>
      <c r="EJ40" s="494"/>
      <c r="EK40" s="494"/>
      <c r="EL40" s="494"/>
      <c r="EM40" s="494"/>
      <c r="EN40" s="494"/>
      <c r="EO40" s="494"/>
      <c r="EP40" s="494"/>
      <c r="EQ40" s="494"/>
      <c r="ER40" s="494"/>
      <c r="ES40" s="494"/>
      <c r="ET40" s="494"/>
      <c r="EU40" s="502"/>
      <c r="EV40" s="502"/>
      <c r="EW40" s="502"/>
      <c r="EX40" s="502"/>
      <c r="EY40" s="502"/>
      <c r="EZ40" s="502"/>
      <c r="FA40" s="502"/>
      <c r="FB40" s="502"/>
      <c r="FC40" s="502"/>
      <c r="FD40" s="502"/>
      <c r="FE40" s="502"/>
      <c r="FF40" s="502"/>
      <c r="FG40" s="502"/>
      <c r="FH40" s="502"/>
      <c r="FI40" s="502"/>
      <c r="FJ40" s="502"/>
      <c r="FK40" s="502"/>
      <c r="FL40" s="502"/>
      <c r="FM40" s="502"/>
      <c r="FN40" s="502"/>
      <c r="FO40" s="502"/>
      <c r="FP40" s="502"/>
      <c r="FQ40" s="502"/>
      <c r="FR40" s="502"/>
      <c r="FS40" s="502"/>
      <c r="FT40" s="502"/>
      <c r="FU40" s="502"/>
      <c r="FV40" s="502"/>
      <c r="FW40" s="502"/>
      <c r="FX40" s="502"/>
      <c r="FY40" s="502"/>
      <c r="FZ40" s="502"/>
      <c r="GA40" s="502"/>
      <c r="GB40" s="502"/>
      <c r="GC40" s="502"/>
      <c r="GD40" s="502"/>
    </row>
    <row r="41" spans="1:186" s="91" customFormat="1" ht="19.5" customHeight="1" thickBot="1">
      <c r="A41" s="431" t="s">
        <v>99</v>
      </c>
      <c r="B41" s="432"/>
      <c r="C41" s="432"/>
      <c r="D41" s="432"/>
      <c r="E41" s="432"/>
      <c r="F41" s="432"/>
      <c r="G41" s="433"/>
      <c r="H41" s="431" t="s">
        <v>100</v>
      </c>
      <c r="I41" s="432"/>
      <c r="J41" s="432"/>
      <c r="K41" s="432"/>
      <c r="L41" s="432"/>
      <c r="M41" s="432"/>
      <c r="N41" s="433"/>
      <c r="O41" s="494"/>
      <c r="P41" s="492"/>
      <c r="Q41" s="492"/>
      <c r="R41" s="492"/>
      <c r="S41" s="494"/>
      <c r="T41" s="494"/>
      <c r="U41" s="494"/>
      <c r="V41" s="494"/>
      <c r="W41" s="494"/>
      <c r="X41" s="494"/>
      <c r="Y41" s="494"/>
      <c r="Z41" s="494"/>
      <c r="AA41" s="494"/>
      <c r="AB41" s="494"/>
      <c r="AC41" s="494"/>
      <c r="AD41" s="494"/>
      <c r="AE41" s="494"/>
      <c r="AF41" s="494"/>
      <c r="AG41" s="494"/>
      <c r="AH41" s="503"/>
      <c r="AI41" s="503"/>
      <c r="AJ41" s="503"/>
      <c r="AK41" s="503"/>
      <c r="AL41" s="503"/>
      <c r="AM41" s="503"/>
      <c r="AN41" s="503"/>
      <c r="AO41" s="503"/>
      <c r="AP41" s="503"/>
      <c r="AQ41" s="503"/>
      <c r="AR41" s="503"/>
      <c r="AS41" s="503"/>
      <c r="AT41" s="503"/>
      <c r="AU41" s="503"/>
      <c r="AV41" s="503"/>
      <c r="AW41" s="503"/>
      <c r="AX41" s="503"/>
      <c r="AY41" s="503"/>
      <c r="AZ41" s="503"/>
      <c r="BA41" s="503"/>
      <c r="BB41" s="503"/>
      <c r="BC41" s="503"/>
      <c r="BD41" s="503"/>
      <c r="BE41" s="503"/>
      <c r="BF41" s="503"/>
      <c r="BG41" s="503"/>
      <c r="BH41" s="503"/>
      <c r="BI41" s="503"/>
      <c r="BJ41" s="503"/>
      <c r="BK41" s="503"/>
      <c r="BL41" s="503"/>
      <c r="BM41" s="503"/>
      <c r="BN41" s="503"/>
      <c r="BO41" s="503"/>
      <c r="BP41" s="503"/>
      <c r="BQ41" s="503"/>
      <c r="BR41" s="503"/>
      <c r="BS41" s="503"/>
      <c r="BT41" s="503"/>
      <c r="BU41" s="503"/>
      <c r="BV41" s="503"/>
      <c r="BW41" s="503"/>
      <c r="BX41" s="503"/>
      <c r="BY41" s="503"/>
      <c r="BZ41" s="503"/>
      <c r="CA41" s="503"/>
      <c r="CB41" s="503"/>
      <c r="CC41" s="503"/>
      <c r="CD41" s="503"/>
      <c r="CE41" s="503"/>
      <c r="CF41" s="503"/>
      <c r="CG41" s="503"/>
      <c r="CH41" s="503"/>
      <c r="CI41" s="503"/>
      <c r="CJ41" s="503"/>
      <c r="CK41" s="503"/>
      <c r="CL41" s="503"/>
      <c r="CM41" s="503"/>
      <c r="CN41" s="503"/>
      <c r="CO41" s="503"/>
      <c r="CP41" s="503"/>
      <c r="CQ41" s="503"/>
      <c r="CR41" s="503"/>
      <c r="CS41" s="503"/>
      <c r="CT41" s="503"/>
      <c r="CU41" s="503"/>
      <c r="CV41" s="503"/>
      <c r="CW41" s="503"/>
      <c r="CX41" s="503"/>
      <c r="CY41" s="503"/>
      <c r="CZ41" s="503"/>
      <c r="DA41" s="503"/>
      <c r="DB41" s="503"/>
      <c r="DC41" s="503"/>
      <c r="DD41" s="503"/>
      <c r="DE41" s="503"/>
      <c r="DF41" s="503"/>
      <c r="DG41" s="503"/>
      <c r="DH41" s="503"/>
      <c r="DI41" s="503"/>
      <c r="DJ41" s="503"/>
      <c r="DK41" s="503"/>
      <c r="DL41" s="503"/>
      <c r="DM41" s="503"/>
      <c r="DN41" s="503"/>
      <c r="DO41" s="503"/>
      <c r="DP41" s="503"/>
      <c r="DQ41" s="503"/>
      <c r="DR41" s="503"/>
      <c r="DS41" s="503"/>
      <c r="DT41" s="503"/>
      <c r="DU41" s="503"/>
      <c r="DV41" s="503"/>
      <c r="DW41" s="503"/>
      <c r="DX41" s="503"/>
      <c r="DY41" s="503"/>
      <c r="DZ41" s="503"/>
      <c r="EA41" s="503"/>
      <c r="EB41" s="503"/>
      <c r="EC41" s="503"/>
      <c r="ED41" s="503"/>
      <c r="EE41" s="503"/>
      <c r="EF41" s="503"/>
      <c r="EG41" s="503"/>
      <c r="EH41" s="503"/>
      <c r="EI41" s="503"/>
      <c r="EJ41" s="503"/>
      <c r="EK41" s="503"/>
      <c r="EL41" s="503"/>
      <c r="EM41" s="503"/>
      <c r="EN41" s="503"/>
      <c r="EO41" s="503"/>
      <c r="EP41" s="503"/>
      <c r="EQ41" s="503"/>
      <c r="ER41" s="503"/>
      <c r="ES41" s="503"/>
      <c r="ET41" s="503"/>
      <c r="EU41" s="503"/>
      <c r="EV41" s="503"/>
      <c r="EW41" s="503"/>
      <c r="EX41" s="503"/>
      <c r="EY41" s="503"/>
      <c r="EZ41" s="503"/>
      <c r="FA41" s="503"/>
      <c r="FB41" s="503"/>
      <c r="FC41" s="503"/>
      <c r="FD41" s="503"/>
      <c r="FE41" s="503"/>
      <c r="FF41" s="503"/>
      <c r="FG41" s="503"/>
      <c r="FH41" s="503"/>
      <c r="FI41" s="503"/>
      <c r="FJ41" s="503"/>
      <c r="FK41" s="503"/>
      <c r="FL41" s="503"/>
      <c r="FM41" s="503"/>
      <c r="FN41" s="503"/>
      <c r="FO41" s="503"/>
      <c r="FP41" s="503"/>
      <c r="FQ41" s="503"/>
      <c r="FR41" s="503"/>
      <c r="FS41" s="503"/>
      <c r="FT41" s="503"/>
      <c r="FU41" s="503"/>
      <c r="FV41" s="503"/>
      <c r="FW41" s="503"/>
      <c r="FX41" s="503"/>
      <c r="FY41" s="503"/>
      <c r="FZ41" s="503"/>
      <c r="GA41" s="503"/>
      <c r="GB41" s="503"/>
      <c r="GC41" s="503"/>
      <c r="GD41" s="503"/>
    </row>
    <row r="42" spans="1:186" ht="15" customHeight="1">
      <c r="C42" s="76"/>
      <c r="E42" s="89"/>
      <c r="F42" s="76"/>
      <c r="G42" s="89"/>
      <c r="I42" s="76"/>
      <c r="J42" s="89"/>
      <c r="K42" s="158"/>
      <c r="L42" s="76"/>
      <c r="M42" s="89"/>
      <c r="O42" s="492"/>
      <c r="P42" s="492"/>
      <c r="Q42" s="492"/>
      <c r="R42" s="492"/>
      <c r="S42" s="492"/>
      <c r="T42" s="492"/>
      <c r="U42" s="492"/>
      <c r="V42" s="492"/>
      <c r="W42" s="492"/>
      <c r="X42" s="492"/>
      <c r="Y42" s="492"/>
      <c r="Z42" s="492"/>
      <c r="AA42" s="492"/>
      <c r="AB42" s="492"/>
      <c r="AC42" s="492"/>
      <c r="AD42" s="492"/>
      <c r="AE42" s="492"/>
      <c r="AF42" s="492"/>
      <c r="AG42" s="492"/>
      <c r="AH42" s="493"/>
      <c r="AI42" s="493"/>
      <c r="AJ42" s="493"/>
      <c r="AK42" s="493"/>
      <c r="AL42" s="493"/>
      <c r="AM42" s="493"/>
      <c r="AN42" s="493"/>
      <c r="AO42" s="493"/>
      <c r="AP42" s="493"/>
      <c r="AQ42" s="493"/>
      <c r="AR42" s="493"/>
      <c r="AS42" s="493"/>
      <c r="AT42" s="493"/>
      <c r="AU42" s="493"/>
      <c r="AV42" s="493"/>
      <c r="AW42" s="493"/>
      <c r="AX42" s="493"/>
      <c r="AY42" s="493"/>
      <c r="AZ42" s="493"/>
      <c r="BA42" s="493"/>
      <c r="BB42" s="493"/>
      <c r="BC42" s="493"/>
      <c r="BD42" s="493"/>
      <c r="BE42" s="493"/>
      <c r="BF42" s="493"/>
      <c r="BG42" s="493"/>
      <c r="BH42" s="493"/>
      <c r="BI42" s="493"/>
      <c r="BJ42" s="493"/>
      <c r="BK42" s="493"/>
      <c r="BL42" s="493"/>
      <c r="BM42" s="493"/>
      <c r="BN42" s="493"/>
      <c r="BO42" s="493"/>
      <c r="BP42" s="493"/>
      <c r="BQ42" s="493"/>
      <c r="BR42" s="493"/>
      <c r="BS42" s="493"/>
      <c r="BT42" s="493"/>
      <c r="BU42" s="493"/>
      <c r="BV42" s="493"/>
      <c r="BW42" s="493"/>
      <c r="BX42" s="493"/>
      <c r="BY42" s="493"/>
      <c r="BZ42" s="493"/>
      <c r="CA42" s="493"/>
      <c r="CB42" s="493"/>
      <c r="CC42" s="493"/>
      <c r="CD42" s="493"/>
      <c r="CE42" s="493"/>
      <c r="CF42" s="493"/>
      <c r="CG42" s="493"/>
      <c r="CH42" s="493"/>
      <c r="CI42" s="493"/>
      <c r="CJ42" s="493"/>
      <c r="CK42" s="493"/>
      <c r="CL42" s="493"/>
      <c r="CM42" s="493"/>
      <c r="CN42" s="493"/>
      <c r="CO42" s="493"/>
      <c r="CP42" s="493"/>
      <c r="CQ42" s="493"/>
      <c r="CR42" s="493"/>
      <c r="CS42" s="493"/>
      <c r="CT42" s="493"/>
      <c r="CU42" s="493"/>
      <c r="CV42" s="493"/>
      <c r="CW42" s="493"/>
      <c r="CX42" s="493"/>
      <c r="CY42" s="493"/>
      <c r="CZ42" s="493"/>
      <c r="DA42" s="493"/>
      <c r="DB42" s="493"/>
      <c r="DC42" s="493"/>
      <c r="DD42" s="493"/>
      <c r="DE42" s="493"/>
      <c r="DF42" s="493"/>
      <c r="DG42" s="493"/>
      <c r="DH42" s="493"/>
      <c r="DI42" s="493"/>
      <c r="DJ42" s="493"/>
      <c r="DK42" s="493"/>
      <c r="DL42" s="493"/>
      <c r="DM42" s="493"/>
      <c r="DN42" s="493"/>
      <c r="DO42" s="493"/>
      <c r="DP42" s="493"/>
      <c r="DQ42" s="493"/>
      <c r="DR42" s="493"/>
      <c r="DS42" s="493"/>
      <c r="DT42" s="493"/>
      <c r="DU42" s="493"/>
      <c r="DV42" s="493"/>
      <c r="DW42" s="493"/>
      <c r="DX42" s="493"/>
      <c r="DY42" s="493"/>
      <c r="DZ42" s="493"/>
      <c r="EA42" s="493"/>
      <c r="EB42" s="493"/>
      <c r="EC42" s="493"/>
      <c r="ED42" s="493"/>
      <c r="EE42" s="493"/>
      <c r="EF42" s="493"/>
      <c r="EG42" s="493"/>
      <c r="EH42" s="493"/>
      <c r="EI42" s="493"/>
      <c r="EJ42" s="493"/>
      <c r="EK42" s="493"/>
      <c r="EL42" s="493"/>
      <c r="EM42" s="493"/>
      <c r="EN42" s="493"/>
      <c r="EO42" s="493"/>
      <c r="EP42" s="493"/>
      <c r="EQ42" s="493"/>
      <c r="ER42" s="493"/>
      <c r="ES42" s="493"/>
      <c r="ET42" s="493"/>
      <c r="EU42" s="493"/>
      <c r="EV42" s="493"/>
      <c r="EW42" s="493"/>
      <c r="EX42" s="493"/>
      <c r="EY42" s="493"/>
      <c r="EZ42" s="493"/>
      <c r="FA42" s="493"/>
      <c r="FB42" s="493"/>
      <c r="FC42" s="493"/>
      <c r="FD42" s="493"/>
      <c r="FE42" s="493"/>
      <c r="FF42" s="493"/>
      <c r="FG42" s="493"/>
      <c r="FH42" s="493"/>
      <c r="FI42" s="493"/>
      <c r="FJ42" s="493"/>
      <c r="FK42" s="493"/>
      <c r="FL42" s="493"/>
      <c r="FM42" s="493"/>
      <c r="FN42" s="493"/>
      <c r="FO42" s="493"/>
      <c r="FP42" s="493"/>
      <c r="FQ42" s="493"/>
      <c r="FR42" s="493"/>
      <c r="FS42" s="493"/>
      <c r="FT42" s="493"/>
      <c r="FU42" s="493"/>
      <c r="FV42" s="493"/>
      <c r="FW42" s="493"/>
      <c r="FX42" s="493"/>
      <c r="FY42" s="493"/>
      <c r="FZ42" s="493"/>
      <c r="GA42" s="493"/>
      <c r="GB42" s="493"/>
      <c r="GC42" s="493"/>
      <c r="GD42" s="493"/>
    </row>
    <row r="43" spans="1:186" ht="15" customHeight="1">
      <c r="C43" s="76"/>
      <c r="E43" s="89"/>
      <c r="F43" s="76"/>
      <c r="G43" s="89"/>
      <c r="I43" s="76"/>
      <c r="J43" s="89"/>
      <c r="K43" s="158"/>
      <c r="L43" s="76"/>
      <c r="M43" s="89"/>
      <c r="O43" s="492"/>
      <c r="P43" s="492"/>
      <c r="Q43" s="492"/>
      <c r="R43" s="492"/>
      <c r="S43" s="492"/>
      <c r="T43" s="492"/>
      <c r="U43" s="492"/>
      <c r="V43" s="492"/>
      <c r="W43" s="492"/>
      <c r="X43" s="492"/>
      <c r="Y43" s="492"/>
      <c r="Z43" s="492"/>
      <c r="AA43" s="492"/>
      <c r="AB43" s="492"/>
      <c r="AC43" s="492"/>
      <c r="AD43" s="492"/>
      <c r="AE43" s="492"/>
      <c r="AF43" s="492"/>
      <c r="AG43" s="492"/>
      <c r="AH43" s="493"/>
      <c r="AI43" s="493"/>
      <c r="AJ43" s="493"/>
      <c r="AK43" s="493"/>
      <c r="AL43" s="493"/>
      <c r="AM43" s="493"/>
      <c r="AN43" s="493"/>
      <c r="AO43" s="493"/>
      <c r="AP43" s="493"/>
      <c r="AQ43" s="493"/>
      <c r="AR43" s="493"/>
      <c r="AS43" s="493"/>
      <c r="AT43" s="493"/>
      <c r="AU43" s="493"/>
      <c r="AV43" s="493"/>
      <c r="AW43" s="493"/>
      <c r="AX43" s="493"/>
      <c r="AY43" s="493"/>
      <c r="AZ43" s="493"/>
      <c r="BA43" s="493"/>
      <c r="BB43" s="493"/>
      <c r="BC43" s="493"/>
      <c r="BD43" s="493"/>
      <c r="BE43" s="493"/>
      <c r="BF43" s="493"/>
      <c r="BG43" s="493"/>
      <c r="BH43" s="493"/>
      <c r="BI43" s="493"/>
      <c r="BJ43" s="493"/>
      <c r="BK43" s="493"/>
      <c r="BL43" s="493"/>
      <c r="BM43" s="493"/>
      <c r="BN43" s="493"/>
      <c r="BO43" s="493"/>
      <c r="BP43" s="493"/>
      <c r="BQ43" s="493"/>
      <c r="BR43" s="493"/>
      <c r="BS43" s="493"/>
      <c r="BT43" s="493"/>
      <c r="BU43" s="493"/>
      <c r="BV43" s="493"/>
      <c r="BW43" s="493"/>
      <c r="BX43" s="493"/>
      <c r="BY43" s="493"/>
      <c r="BZ43" s="493"/>
      <c r="CA43" s="493"/>
      <c r="CB43" s="493"/>
      <c r="CC43" s="493"/>
      <c r="CD43" s="493"/>
      <c r="CE43" s="493"/>
      <c r="CF43" s="493"/>
      <c r="CG43" s="493"/>
      <c r="CH43" s="493"/>
      <c r="CI43" s="493"/>
      <c r="CJ43" s="493"/>
      <c r="CK43" s="493"/>
      <c r="CL43" s="493"/>
      <c r="CM43" s="493"/>
      <c r="CN43" s="493"/>
      <c r="CO43" s="493"/>
      <c r="CP43" s="493"/>
      <c r="CQ43" s="493"/>
      <c r="CR43" s="493"/>
      <c r="CS43" s="493"/>
      <c r="CT43" s="493"/>
      <c r="CU43" s="493"/>
      <c r="CV43" s="493"/>
      <c r="CW43" s="493"/>
      <c r="CX43" s="493"/>
      <c r="CY43" s="493"/>
      <c r="CZ43" s="493"/>
      <c r="DA43" s="493"/>
      <c r="DB43" s="493"/>
      <c r="DC43" s="493"/>
      <c r="DD43" s="493"/>
      <c r="DE43" s="493"/>
      <c r="DF43" s="493"/>
      <c r="DG43" s="493"/>
      <c r="DH43" s="493"/>
      <c r="DI43" s="493"/>
      <c r="DJ43" s="493"/>
      <c r="DK43" s="493"/>
      <c r="DL43" s="493"/>
      <c r="DM43" s="493"/>
      <c r="DN43" s="493"/>
      <c r="DO43" s="493"/>
      <c r="DP43" s="493"/>
      <c r="DQ43" s="493"/>
      <c r="DR43" s="493"/>
      <c r="DS43" s="493"/>
      <c r="DT43" s="493"/>
      <c r="DU43" s="493"/>
      <c r="DV43" s="493"/>
      <c r="DW43" s="493"/>
      <c r="DX43" s="493"/>
      <c r="DY43" s="493"/>
      <c r="DZ43" s="493"/>
      <c r="EA43" s="493"/>
      <c r="EB43" s="493"/>
      <c r="EC43" s="493"/>
      <c r="ED43" s="493"/>
      <c r="EE43" s="493"/>
      <c r="EF43" s="493"/>
      <c r="EG43" s="493"/>
      <c r="EH43" s="493"/>
      <c r="EI43" s="493"/>
      <c r="EJ43" s="493"/>
      <c r="EK43" s="493"/>
      <c r="EL43" s="493"/>
      <c r="EM43" s="493"/>
      <c r="EN43" s="493"/>
      <c r="EO43" s="493"/>
      <c r="EP43" s="493"/>
      <c r="EQ43" s="493"/>
      <c r="ER43" s="493"/>
      <c r="ES43" s="493"/>
      <c r="ET43" s="493"/>
      <c r="EU43" s="493"/>
      <c r="EV43" s="493"/>
      <c r="EW43" s="493"/>
      <c r="EX43" s="493"/>
      <c r="EY43" s="493"/>
      <c r="EZ43" s="493"/>
      <c r="FA43" s="493"/>
      <c r="FB43" s="493"/>
      <c r="FC43" s="493"/>
      <c r="FD43" s="493"/>
      <c r="FE43" s="493"/>
      <c r="FF43" s="493"/>
      <c r="FG43" s="493"/>
      <c r="FH43" s="493"/>
      <c r="FI43" s="493"/>
      <c r="FJ43" s="493"/>
      <c r="FK43" s="493"/>
      <c r="FL43" s="493"/>
      <c r="FM43" s="493"/>
      <c r="FN43" s="493"/>
      <c r="FO43" s="493"/>
      <c r="FP43" s="493"/>
      <c r="FQ43" s="493"/>
      <c r="FR43" s="493"/>
      <c r="FS43" s="493"/>
      <c r="FT43" s="493"/>
      <c r="FU43" s="493"/>
      <c r="FV43" s="493"/>
      <c r="FW43" s="493"/>
      <c r="FX43" s="493"/>
      <c r="FY43" s="493"/>
      <c r="FZ43" s="493"/>
      <c r="GA43" s="493"/>
      <c r="GB43" s="493"/>
      <c r="GC43" s="493"/>
      <c r="GD43" s="493"/>
    </row>
    <row r="44" spans="1:186" ht="15" customHeight="1">
      <c r="C44" s="76"/>
      <c r="E44" s="89"/>
      <c r="F44" s="76"/>
      <c r="G44" s="89"/>
      <c r="I44" s="76"/>
      <c r="J44" s="89"/>
      <c r="K44" s="158"/>
      <c r="L44" s="76"/>
      <c r="M44" s="89"/>
      <c r="O44" s="492"/>
      <c r="P44" s="492"/>
      <c r="Q44" s="492"/>
      <c r="R44" s="492"/>
      <c r="S44" s="492"/>
      <c r="T44" s="492"/>
      <c r="U44" s="492"/>
      <c r="V44" s="492"/>
      <c r="W44" s="492"/>
      <c r="X44" s="492"/>
      <c r="Y44" s="492"/>
      <c r="Z44" s="492"/>
      <c r="AA44" s="492"/>
      <c r="AB44" s="492"/>
      <c r="AC44" s="492"/>
      <c r="AD44" s="492"/>
      <c r="AE44" s="492"/>
      <c r="AF44" s="492"/>
      <c r="AG44" s="492"/>
      <c r="AH44" s="493"/>
      <c r="AI44" s="493"/>
      <c r="AJ44" s="493"/>
      <c r="AK44" s="493"/>
      <c r="AL44" s="493"/>
      <c r="AM44" s="493"/>
      <c r="AN44" s="493"/>
      <c r="AO44" s="493"/>
      <c r="AP44" s="493"/>
      <c r="AQ44" s="493"/>
      <c r="AR44" s="493"/>
      <c r="AS44" s="493"/>
      <c r="AT44" s="493"/>
      <c r="AU44" s="493"/>
      <c r="AV44" s="493"/>
      <c r="AW44" s="493"/>
      <c r="AX44" s="493"/>
      <c r="AY44" s="493"/>
      <c r="AZ44" s="493"/>
      <c r="BA44" s="493"/>
      <c r="BB44" s="493"/>
      <c r="BC44" s="493"/>
      <c r="BD44" s="493"/>
      <c r="BE44" s="493"/>
      <c r="BF44" s="493"/>
      <c r="BG44" s="493"/>
      <c r="BH44" s="493"/>
      <c r="BI44" s="493"/>
      <c r="BJ44" s="493"/>
      <c r="BK44" s="493"/>
      <c r="BL44" s="493"/>
      <c r="BM44" s="493"/>
      <c r="BN44" s="493"/>
      <c r="BO44" s="493"/>
      <c r="BP44" s="493"/>
      <c r="BQ44" s="493"/>
      <c r="BR44" s="493"/>
      <c r="BS44" s="493"/>
      <c r="BT44" s="493"/>
      <c r="BU44" s="493"/>
      <c r="BV44" s="493"/>
      <c r="BW44" s="493"/>
      <c r="BX44" s="493"/>
      <c r="BY44" s="493"/>
      <c r="BZ44" s="493"/>
      <c r="CA44" s="493"/>
      <c r="CB44" s="493"/>
      <c r="CC44" s="493"/>
      <c r="CD44" s="493"/>
      <c r="CE44" s="493"/>
      <c r="CF44" s="493"/>
      <c r="CG44" s="493"/>
      <c r="CH44" s="493"/>
      <c r="CI44" s="493"/>
      <c r="CJ44" s="493"/>
      <c r="CK44" s="493"/>
      <c r="CL44" s="493"/>
      <c r="CM44" s="493"/>
      <c r="CN44" s="493"/>
      <c r="CO44" s="493"/>
      <c r="CP44" s="493"/>
      <c r="CQ44" s="493"/>
      <c r="CR44" s="493"/>
      <c r="CS44" s="493"/>
      <c r="CT44" s="493"/>
      <c r="CU44" s="493"/>
      <c r="CV44" s="493"/>
      <c r="CW44" s="493"/>
      <c r="CX44" s="493"/>
      <c r="CY44" s="493"/>
      <c r="CZ44" s="493"/>
      <c r="DA44" s="493"/>
      <c r="DB44" s="493"/>
      <c r="DC44" s="493"/>
      <c r="DD44" s="493"/>
      <c r="DE44" s="493"/>
      <c r="DF44" s="493"/>
      <c r="DG44" s="493"/>
      <c r="DH44" s="493"/>
      <c r="DI44" s="493"/>
      <c r="DJ44" s="493"/>
      <c r="DK44" s="493"/>
      <c r="DL44" s="493"/>
      <c r="DM44" s="493"/>
      <c r="DN44" s="493"/>
      <c r="DO44" s="493"/>
      <c r="DP44" s="493"/>
      <c r="DQ44" s="493"/>
      <c r="DR44" s="493"/>
      <c r="DS44" s="493"/>
      <c r="DT44" s="493"/>
      <c r="DU44" s="493"/>
      <c r="DV44" s="493"/>
      <c r="DW44" s="493"/>
      <c r="DX44" s="493"/>
      <c r="DY44" s="493"/>
      <c r="DZ44" s="493"/>
      <c r="EA44" s="493"/>
      <c r="EB44" s="493"/>
      <c r="EC44" s="493"/>
      <c r="ED44" s="493"/>
      <c r="EE44" s="493"/>
      <c r="EF44" s="493"/>
      <c r="EG44" s="493"/>
      <c r="EH44" s="493"/>
      <c r="EI44" s="493"/>
      <c r="EJ44" s="493"/>
      <c r="EK44" s="493"/>
      <c r="EL44" s="493"/>
      <c r="EM44" s="493"/>
      <c r="EN44" s="493"/>
      <c r="EO44" s="493"/>
      <c r="EP44" s="493"/>
      <c r="EQ44" s="493"/>
      <c r="ER44" s="493"/>
      <c r="ES44" s="493"/>
      <c r="ET44" s="493"/>
      <c r="EU44" s="493"/>
      <c r="EV44" s="493"/>
      <c r="EW44" s="493"/>
      <c r="EX44" s="493"/>
      <c r="EY44" s="493"/>
      <c r="EZ44" s="493"/>
      <c r="FA44" s="493"/>
      <c r="FB44" s="493"/>
      <c r="FC44" s="493"/>
      <c r="FD44" s="493"/>
      <c r="FE44" s="493"/>
      <c r="FF44" s="493"/>
      <c r="FG44" s="493"/>
      <c r="FH44" s="493"/>
      <c r="FI44" s="493"/>
      <c r="FJ44" s="493"/>
      <c r="FK44" s="493"/>
      <c r="FL44" s="493"/>
      <c r="FM44" s="493"/>
      <c r="FN44" s="493"/>
      <c r="FO44" s="493"/>
      <c r="FP44" s="493"/>
      <c r="FQ44" s="493"/>
      <c r="FR44" s="493"/>
      <c r="FS44" s="493"/>
      <c r="FT44" s="493"/>
      <c r="FU44" s="493"/>
      <c r="FV44" s="493"/>
      <c r="FW44" s="493"/>
      <c r="FX44" s="493"/>
      <c r="FY44" s="493"/>
      <c r="FZ44" s="493"/>
      <c r="GA44" s="493"/>
      <c r="GB44" s="493"/>
      <c r="GC44" s="493"/>
      <c r="GD44" s="493"/>
    </row>
    <row r="45" spans="1:186" ht="15" customHeight="1">
      <c r="C45" s="76"/>
      <c r="E45" s="89"/>
      <c r="F45" s="76"/>
      <c r="G45" s="89"/>
      <c r="I45" s="76"/>
      <c r="J45" s="89"/>
      <c r="K45" s="158"/>
      <c r="L45" s="76"/>
      <c r="M45" s="89"/>
      <c r="O45" s="492"/>
      <c r="P45" s="492"/>
      <c r="Q45" s="492"/>
      <c r="R45" s="492"/>
      <c r="S45" s="492"/>
      <c r="T45" s="492"/>
      <c r="U45" s="492"/>
      <c r="V45" s="492"/>
      <c r="W45" s="492"/>
      <c r="X45" s="492"/>
      <c r="Y45" s="492"/>
      <c r="Z45" s="492"/>
      <c r="AA45" s="492"/>
      <c r="AB45" s="492"/>
      <c r="AC45" s="492"/>
      <c r="AD45" s="492"/>
      <c r="AE45" s="492"/>
      <c r="AF45" s="492"/>
      <c r="AG45" s="492"/>
      <c r="AH45" s="493"/>
      <c r="AI45" s="493"/>
      <c r="AJ45" s="493"/>
      <c r="AK45" s="493"/>
      <c r="AL45" s="493"/>
      <c r="AM45" s="493"/>
      <c r="AN45" s="493"/>
      <c r="AO45" s="493"/>
      <c r="AP45" s="493"/>
      <c r="AQ45" s="493"/>
      <c r="AR45" s="493"/>
      <c r="AS45" s="493"/>
      <c r="AT45" s="493"/>
      <c r="AU45" s="493"/>
      <c r="AV45" s="493"/>
      <c r="AW45" s="493"/>
      <c r="AX45" s="493"/>
      <c r="AY45" s="493"/>
      <c r="AZ45" s="493"/>
      <c r="BA45" s="493"/>
      <c r="BB45" s="493"/>
      <c r="BC45" s="493"/>
      <c r="BD45" s="493"/>
      <c r="BE45" s="493"/>
      <c r="BF45" s="493"/>
      <c r="BG45" s="493"/>
      <c r="BH45" s="493"/>
      <c r="BI45" s="493"/>
      <c r="BJ45" s="493"/>
      <c r="BK45" s="493"/>
      <c r="BL45" s="493"/>
      <c r="BM45" s="493"/>
      <c r="BN45" s="493"/>
      <c r="BO45" s="493"/>
      <c r="BP45" s="493"/>
      <c r="BQ45" s="493"/>
      <c r="BR45" s="493"/>
      <c r="BS45" s="493"/>
      <c r="BT45" s="493"/>
      <c r="BU45" s="493"/>
      <c r="BV45" s="493"/>
      <c r="BW45" s="493"/>
      <c r="BX45" s="493"/>
      <c r="BY45" s="493"/>
      <c r="BZ45" s="493"/>
      <c r="CA45" s="493"/>
      <c r="CB45" s="493"/>
      <c r="CC45" s="493"/>
      <c r="CD45" s="493"/>
      <c r="CE45" s="493"/>
      <c r="CF45" s="493"/>
      <c r="CG45" s="493"/>
      <c r="CH45" s="493"/>
      <c r="CI45" s="493"/>
      <c r="CJ45" s="493"/>
      <c r="CK45" s="493"/>
      <c r="CL45" s="493"/>
      <c r="CM45" s="493"/>
      <c r="CN45" s="493"/>
      <c r="CO45" s="493"/>
      <c r="CP45" s="493"/>
      <c r="CQ45" s="493"/>
      <c r="CR45" s="493"/>
      <c r="CS45" s="493"/>
      <c r="CT45" s="493"/>
      <c r="CU45" s="493"/>
      <c r="CV45" s="493"/>
      <c r="CW45" s="493"/>
      <c r="CX45" s="493"/>
      <c r="CY45" s="493"/>
      <c r="CZ45" s="493"/>
      <c r="DA45" s="493"/>
      <c r="DB45" s="493"/>
      <c r="DC45" s="493"/>
      <c r="DD45" s="493"/>
      <c r="DE45" s="493"/>
      <c r="DF45" s="493"/>
      <c r="DG45" s="493"/>
      <c r="DH45" s="493"/>
      <c r="DI45" s="493"/>
      <c r="DJ45" s="493"/>
      <c r="DK45" s="493"/>
      <c r="DL45" s="493"/>
      <c r="DM45" s="493"/>
      <c r="DN45" s="493"/>
      <c r="DO45" s="493"/>
      <c r="DP45" s="493"/>
      <c r="DQ45" s="493"/>
      <c r="DR45" s="493"/>
      <c r="DS45" s="493"/>
      <c r="DT45" s="493"/>
      <c r="DU45" s="493"/>
      <c r="DV45" s="493"/>
      <c r="DW45" s="493"/>
      <c r="DX45" s="493"/>
      <c r="DY45" s="493"/>
      <c r="DZ45" s="493"/>
      <c r="EA45" s="493"/>
      <c r="EB45" s="493"/>
      <c r="EC45" s="493"/>
      <c r="ED45" s="493"/>
      <c r="EE45" s="493"/>
      <c r="EF45" s="493"/>
      <c r="EG45" s="493"/>
      <c r="EH45" s="493"/>
      <c r="EI45" s="493"/>
      <c r="EJ45" s="493"/>
      <c r="EK45" s="493"/>
      <c r="EL45" s="493"/>
      <c r="EM45" s="493"/>
      <c r="EN45" s="493"/>
      <c r="EO45" s="493"/>
      <c r="EP45" s="493"/>
      <c r="EQ45" s="493"/>
      <c r="ER45" s="493"/>
      <c r="ES45" s="493"/>
      <c r="ET45" s="493"/>
      <c r="EU45" s="493"/>
      <c r="EV45" s="493"/>
      <c r="EW45" s="493"/>
      <c r="EX45" s="493"/>
      <c r="EY45" s="493"/>
      <c r="EZ45" s="493"/>
      <c r="FA45" s="493"/>
      <c r="FB45" s="493"/>
      <c r="FC45" s="493"/>
      <c r="FD45" s="493"/>
      <c r="FE45" s="493"/>
      <c r="FF45" s="493"/>
      <c r="FG45" s="493"/>
      <c r="FH45" s="493"/>
      <c r="FI45" s="493"/>
      <c r="FJ45" s="493"/>
      <c r="FK45" s="493"/>
      <c r="FL45" s="493"/>
      <c r="FM45" s="493"/>
      <c r="FN45" s="493"/>
      <c r="FO45" s="493"/>
      <c r="FP45" s="493"/>
      <c r="FQ45" s="493"/>
      <c r="FR45" s="493"/>
      <c r="FS45" s="493"/>
      <c r="FT45" s="493"/>
      <c r="FU45" s="493"/>
      <c r="FV45" s="493"/>
      <c r="FW45" s="493"/>
      <c r="FX45" s="493"/>
      <c r="FY45" s="493"/>
      <c r="FZ45" s="493"/>
      <c r="GA45" s="493"/>
      <c r="GB45" s="493"/>
      <c r="GC45" s="493"/>
      <c r="GD45" s="493"/>
    </row>
    <row r="46" spans="1:186" ht="15" customHeight="1">
      <c r="C46" s="76"/>
      <c r="E46" s="89"/>
      <c r="F46" s="76"/>
      <c r="G46" s="89"/>
      <c r="I46" s="76"/>
      <c r="J46" s="89"/>
      <c r="K46" s="158"/>
      <c r="L46" s="76"/>
      <c r="M46" s="89"/>
      <c r="O46" s="492"/>
      <c r="P46" s="492"/>
      <c r="Q46" s="492"/>
      <c r="R46" s="492"/>
      <c r="S46" s="492"/>
      <c r="T46" s="492"/>
      <c r="U46" s="492"/>
      <c r="V46" s="492"/>
      <c r="W46" s="492"/>
      <c r="X46" s="492"/>
      <c r="Y46" s="492"/>
      <c r="Z46" s="492"/>
      <c r="AA46" s="492"/>
      <c r="AB46" s="492"/>
      <c r="AC46" s="492"/>
      <c r="AD46" s="492"/>
      <c r="AE46" s="492"/>
      <c r="AF46" s="492"/>
      <c r="AG46" s="492"/>
      <c r="AH46" s="493"/>
      <c r="AI46" s="493"/>
      <c r="AJ46" s="493"/>
      <c r="AK46" s="493"/>
      <c r="AL46" s="493"/>
      <c r="AM46" s="493"/>
      <c r="AN46" s="493"/>
      <c r="AO46" s="493"/>
      <c r="AP46" s="493"/>
      <c r="AQ46" s="493"/>
      <c r="AR46" s="493"/>
      <c r="AS46" s="493"/>
      <c r="AT46" s="493"/>
      <c r="AU46" s="493"/>
      <c r="AV46" s="493"/>
      <c r="AW46" s="493"/>
      <c r="AX46" s="493"/>
      <c r="AY46" s="493"/>
      <c r="AZ46" s="493"/>
      <c r="BA46" s="493"/>
      <c r="BB46" s="493"/>
      <c r="BC46" s="493"/>
      <c r="BD46" s="493"/>
      <c r="BE46" s="493"/>
      <c r="BF46" s="493"/>
      <c r="BG46" s="493"/>
      <c r="BH46" s="493"/>
      <c r="BI46" s="493"/>
      <c r="BJ46" s="493"/>
      <c r="BK46" s="493"/>
      <c r="BL46" s="493"/>
      <c r="BM46" s="493"/>
      <c r="BN46" s="493"/>
      <c r="BO46" s="493"/>
      <c r="BP46" s="493"/>
      <c r="BQ46" s="493"/>
      <c r="BR46" s="493"/>
      <c r="BS46" s="493"/>
      <c r="BT46" s="493"/>
      <c r="BU46" s="493"/>
      <c r="BV46" s="493"/>
      <c r="BW46" s="493"/>
      <c r="BX46" s="493"/>
      <c r="BY46" s="493"/>
      <c r="BZ46" s="493"/>
      <c r="CA46" s="493"/>
      <c r="CB46" s="493"/>
      <c r="CC46" s="493"/>
      <c r="CD46" s="493"/>
      <c r="CE46" s="493"/>
      <c r="CF46" s="493"/>
      <c r="CG46" s="493"/>
      <c r="CH46" s="493"/>
      <c r="CI46" s="493"/>
      <c r="CJ46" s="493"/>
      <c r="CK46" s="493"/>
      <c r="CL46" s="493"/>
      <c r="CM46" s="493"/>
      <c r="CN46" s="493"/>
      <c r="CO46" s="493"/>
      <c r="CP46" s="493"/>
      <c r="CQ46" s="493"/>
      <c r="CR46" s="493"/>
      <c r="CS46" s="493"/>
      <c r="CT46" s="493"/>
      <c r="CU46" s="493"/>
      <c r="CV46" s="493"/>
      <c r="CW46" s="493"/>
      <c r="CX46" s="493"/>
      <c r="CY46" s="493"/>
      <c r="CZ46" s="493"/>
      <c r="DA46" s="493"/>
      <c r="DB46" s="493"/>
      <c r="DC46" s="493"/>
      <c r="DD46" s="493"/>
      <c r="DE46" s="493"/>
      <c r="DF46" s="493"/>
      <c r="DG46" s="493"/>
      <c r="DH46" s="493"/>
      <c r="DI46" s="493"/>
      <c r="DJ46" s="493"/>
      <c r="DK46" s="493"/>
      <c r="DL46" s="493"/>
      <c r="DM46" s="493"/>
      <c r="DN46" s="493"/>
      <c r="DO46" s="493"/>
      <c r="DP46" s="493"/>
      <c r="DQ46" s="493"/>
      <c r="DR46" s="493"/>
      <c r="DS46" s="493"/>
      <c r="DT46" s="493"/>
      <c r="DU46" s="493"/>
      <c r="DV46" s="493"/>
      <c r="DW46" s="493"/>
      <c r="DX46" s="493"/>
      <c r="DY46" s="493"/>
      <c r="DZ46" s="493"/>
      <c r="EA46" s="493"/>
      <c r="EB46" s="493"/>
      <c r="EC46" s="493"/>
      <c r="ED46" s="493"/>
      <c r="EE46" s="493"/>
      <c r="EF46" s="493"/>
      <c r="EG46" s="493"/>
      <c r="EH46" s="493"/>
      <c r="EI46" s="493"/>
      <c r="EJ46" s="493"/>
      <c r="EK46" s="493"/>
      <c r="EL46" s="493"/>
      <c r="EM46" s="493"/>
      <c r="EN46" s="493"/>
      <c r="EO46" s="493"/>
      <c r="EP46" s="493"/>
      <c r="EQ46" s="493"/>
      <c r="ER46" s="493"/>
      <c r="ES46" s="493"/>
      <c r="ET46" s="493"/>
      <c r="EU46" s="493"/>
      <c r="EV46" s="493"/>
      <c r="EW46" s="493"/>
      <c r="EX46" s="493"/>
      <c r="EY46" s="493"/>
      <c r="EZ46" s="493"/>
      <c r="FA46" s="493"/>
      <c r="FB46" s="493"/>
      <c r="FC46" s="493"/>
      <c r="FD46" s="493"/>
      <c r="FE46" s="493"/>
      <c r="FF46" s="493"/>
      <c r="FG46" s="493"/>
      <c r="FH46" s="493"/>
      <c r="FI46" s="493"/>
      <c r="FJ46" s="493"/>
      <c r="FK46" s="493"/>
      <c r="FL46" s="493"/>
      <c r="FM46" s="493"/>
      <c r="FN46" s="493"/>
      <c r="FO46" s="493"/>
      <c r="FP46" s="493"/>
      <c r="FQ46" s="493"/>
      <c r="FR46" s="493"/>
      <c r="FS46" s="493"/>
      <c r="FT46" s="493"/>
      <c r="FU46" s="493"/>
      <c r="FV46" s="493"/>
      <c r="FW46" s="493"/>
      <c r="FX46" s="493"/>
      <c r="FY46" s="493"/>
      <c r="FZ46" s="493"/>
      <c r="GA46" s="493"/>
      <c r="GB46" s="493"/>
      <c r="GC46" s="493"/>
      <c r="GD46" s="493"/>
    </row>
    <row r="47" spans="1:186" ht="15" customHeight="1">
      <c r="C47" s="76"/>
      <c r="E47" s="89"/>
      <c r="F47" s="76"/>
      <c r="G47" s="89"/>
      <c r="I47" s="76"/>
      <c r="J47" s="89"/>
      <c r="K47" s="158"/>
      <c r="L47" s="76"/>
      <c r="M47" s="89"/>
      <c r="O47" s="492"/>
      <c r="P47" s="492"/>
      <c r="Q47" s="492"/>
      <c r="R47" s="492"/>
      <c r="S47" s="492"/>
      <c r="T47" s="492"/>
      <c r="U47" s="492"/>
      <c r="V47" s="492"/>
      <c r="W47" s="492"/>
      <c r="X47" s="492"/>
      <c r="Y47" s="492"/>
      <c r="Z47" s="492"/>
      <c r="AA47" s="492"/>
      <c r="AB47" s="492"/>
      <c r="AC47" s="492"/>
      <c r="AD47" s="492"/>
      <c r="AE47" s="492"/>
      <c r="AF47" s="492"/>
      <c r="AG47" s="492"/>
      <c r="AH47" s="493"/>
      <c r="AI47" s="493"/>
      <c r="AJ47" s="493"/>
      <c r="AK47" s="493"/>
      <c r="AL47" s="493"/>
      <c r="AM47" s="493"/>
      <c r="AN47" s="493"/>
      <c r="AO47" s="493"/>
      <c r="AP47" s="493"/>
      <c r="AQ47" s="493"/>
      <c r="AR47" s="493"/>
      <c r="AS47" s="493"/>
      <c r="AT47" s="493"/>
      <c r="AU47" s="493"/>
      <c r="AV47" s="493"/>
      <c r="AW47" s="493"/>
      <c r="AX47" s="493"/>
      <c r="AY47" s="493"/>
      <c r="AZ47" s="493"/>
      <c r="BA47" s="493"/>
      <c r="BB47" s="493"/>
      <c r="BC47" s="493"/>
      <c r="BD47" s="493"/>
      <c r="BE47" s="493"/>
      <c r="BF47" s="493"/>
      <c r="BG47" s="493"/>
      <c r="BH47" s="493"/>
      <c r="BI47" s="493"/>
      <c r="BJ47" s="493"/>
      <c r="BK47" s="493"/>
      <c r="BL47" s="493"/>
      <c r="BM47" s="493"/>
      <c r="BN47" s="493"/>
      <c r="BO47" s="493"/>
      <c r="BP47" s="493"/>
      <c r="BQ47" s="493"/>
      <c r="BR47" s="493"/>
      <c r="BS47" s="493"/>
      <c r="BT47" s="493"/>
      <c r="BU47" s="493"/>
      <c r="BV47" s="493"/>
      <c r="BW47" s="493"/>
      <c r="BX47" s="493"/>
      <c r="BY47" s="493"/>
      <c r="BZ47" s="493"/>
      <c r="CA47" s="493"/>
      <c r="CB47" s="493"/>
      <c r="CC47" s="493"/>
      <c r="CD47" s="493"/>
      <c r="CE47" s="493"/>
      <c r="CF47" s="493"/>
      <c r="CG47" s="493"/>
      <c r="CH47" s="493"/>
      <c r="CI47" s="493"/>
      <c r="CJ47" s="493"/>
      <c r="CK47" s="493"/>
      <c r="CL47" s="493"/>
      <c r="CM47" s="493"/>
      <c r="CN47" s="493"/>
      <c r="CO47" s="493"/>
      <c r="CP47" s="493"/>
      <c r="CQ47" s="493"/>
      <c r="CR47" s="493"/>
      <c r="CS47" s="493"/>
      <c r="CT47" s="493"/>
      <c r="CU47" s="493"/>
      <c r="CV47" s="493"/>
      <c r="CW47" s="493"/>
      <c r="CX47" s="493"/>
      <c r="CY47" s="493"/>
      <c r="CZ47" s="493"/>
      <c r="DA47" s="493"/>
      <c r="DB47" s="493"/>
      <c r="DC47" s="493"/>
      <c r="DD47" s="493"/>
      <c r="DE47" s="493"/>
      <c r="DF47" s="493"/>
      <c r="DG47" s="493"/>
      <c r="DH47" s="493"/>
      <c r="DI47" s="493"/>
      <c r="DJ47" s="493"/>
      <c r="DK47" s="493"/>
      <c r="DL47" s="493"/>
      <c r="DM47" s="493"/>
      <c r="DN47" s="493"/>
      <c r="DO47" s="493"/>
      <c r="DP47" s="493"/>
      <c r="DQ47" s="493"/>
      <c r="DR47" s="493"/>
      <c r="DS47" s="493"/>
      <c r="DT47" s="493"/>
      <c r="DU47" s="493"/>
      <c r="DV47" s="493"/>
      <c r="DW47" s="493"/>
      <c r="DX47" s="493"/>
      <c r="DY47" s="493"/>
      <c r="DZ47" s="493"/>
      <c r="EA47" s="493"/>
      <c r="EB47" s="493"/>
      <c r="EC47" s="493"/>
      <c r="ED47" s="493"/>
      <c r="EE47" s="493"/>
      <c r="EF47" s="493"/>
      <c r="EG47" s="493"/>
      <c r="EH47" s="493"/>
      <c r="EI47" s="493"/>
      <c r="EJ47" s="493"/>
      <c r="EK47" s="493"/>
      <c r="EL47" s="493"/>
      <c r="EM47" s="493"/>
      <c r="EN47" s="493"/>
      <c r="EO47" s="493"/>
      <c r="EP47" s="493"/>
      <c r="EQ47" s="493"/>
      <c r="ER47" s="493"/>
      <c r="ES47" s="493"/>
      <c r="ET47" s="493"/>
      <c r="EU47" s="493"/>
      <c r="EV47" s="493"/>
      <c r="EW47" s="493"/>
      <c r="EX47" s="493"/>
      <c r="EY47" s="493"/>
      <c r="EZ47" s="493"/>
      <c r="FA47" s="493"/>
      <c r="FB47" s="493"/>
      <c r="FC47" s="493"/>
      <c r="FD47" s="493"/>
      <c r="FE47" s="493"/>
      <c r="FF47" s="493"/>
      <c r="FG47" s="493"/>
      <c r="FH47" s="493"/>
      <c r="FI47" s="493"/>
      <c r="FJ47" s="493"/>
      <c r="FK47" s="493"/>
      <c r="FL47" s="493"/>
      <c r="FM47" s="493"/>
      <c r="FN47" s="493"/>
      <c r="FO47" s="493"/>
      <c r="FP47" s="493"/>
      <c r="FQ47" s="493"/>
      <c r="FR47" s="493"/>
      <c r="FS47" s="493"/>
      <c r="FT47" s="493"/>
      <c r="FU47" s="493"/>
      <c r="FV47" s="493"/>
      <c r="FW47" s="493"/>
      <c r="FX47" s="493"/>
      <c r="FY47" s="493"/>
      <c r="FZ47" s="493"/>
      <c r="GA47" s="493"/>
      <c r="GB47" s="493"/>
      <c r="GC47" s="493"/>
      <c r="GD47" s="493"/>
    </row>
    <row r="48" spans="1:186" ht="15" customHeight="1">
      <c r="C48" s="76"/>
      <c r="E48" s="89"/>
      <c r="F48" s="76"/>
      <c r="G48" s="89"/>
      <c r="I48" s="76"/>
      <c r="J48" s="89"/>
      <c r="K48" s="158"/>
      <c r="L48" s="76"/>
      <c r="M48" s="89"/>
      <c r="O48" s="492"/>
      <c r="P48" s="492"/>
      <c r="Q48" s="492"/>
      <c r="R48" s="492"/>
      <c r="S48" s="492"/>
      <c r="T48" s="492"/>
      <c r="U48" s="492"/>
      <c r="V48" s="492"/>
      <c r="W48" s="492"/>
      <c r="X48" s="492"/>
      <c r="Y48" s="492"/>
      <c r="Z48" s="492"/>
      <c r="AA48" s="492"/>
      <c r="AB48" s="492"/>
      <c r="AC48" s="492"/>
      <c r="AD48" s="492"/>
      <c r="AE48" s="492"/>
      <c r="AF48" s="492"/>
      <c r="AG48" s="492"/>
      <c r="AH48" s="493"/>
      <c r="AI48" s="493"/>
      <c r="AJ48" s="493"/>
      <c r="AK48" s="493"/>
      <c r="AL48" s="493"/>
      <c r="AM48" s="493"/>
      <c r="AN48" s="493"/>
      <c r="AO48" s="493"/>
      <c r="AP48" s="493"/>
      <c r="AQ48" s="493"/>
      <c r="AR48" s="493"/>
      <c r="AS48" s="493"/>
      <c r="AT48" s="493"/>
      <c r="AU48" s="493"/>
      <c r="AV48" s="493"/>
      <c r="AW48" s="493"/>
      <c r="AX48" s="493"/>
      <c r="AY48" s="493"/>
      <c r="AZ48" s="493"/>
      <c r="BA48" s="493"/>
      <c r="BB48" s="493"/>
      <c r="BC48" s="493"/>
      <c r="BD48" s="493"/>
      <c r="BE48" s="493"/>
      <c r="BF48" s="493"/>
      <c r="BG48" s="493"/>
      <c r="BH48" s="493"/>
      <c r="BI48" s="493"/>
      <c r="BJ48" s="493"/>
      <c r="BK48" s="493"/>
      <c r="BL48" s="493"/>
      <c r="BM48" s="493"/>
      <c r="BN48" s="493"/>
      <c r="BO48" s="493"/>
      <c r="BP48" s="493"/>
      <c r="BQ48" s="493"/>
      <c r="BR48" s="493"/>
      <c r="BS48" s="493"/>
      <c r="BT48" s="493"/>
      <c r="BU48" s="493"/>
      <c r="BV48" s="493"/>
      <c r="BW48" s="493"/>
      <c r="BX48" s="493"/>
      <c r="BY48" s="493"/>
      <c r="BZ48" s="493"/>
      <c r="CA48" s="493"/>
      <c r="CB48" s="493"/>
      <c r="CC48" s="493"/>
      <c r="CD48" s="493"/>
      <c r="CE48" s="493"/>
      <c r="CF48" s="493"/>
      <c r="CG48" s="493"/>
      <c r="CH48" s="493"/>
      <c r="CI48" s="493"/>
      <c r="CJ48" s="493"/>
      <c r="CK48" s="493"/>
      <c r="CL48" s="493"/>
      <c r="CM48" s="493"/>
      <c r="CN48" s="493"/>
      <c r="CO48" s="493"/>
      <c r="CP48" s="493"/>
      <c r="CQ48" s="493"/>
      <c r="CR48" s="493"/>
      <c r="CS48" s="493"/>
      <c r="CT48" s="493"/>
      <c r="CU48" s="493"/>
      <c r="CV48" s="493"/>
      <c r="CW48" s="493"/>
      <c r="CX48" s="493"/>
      <c r="CY48" s="493"/>
      <c r="CZ48" s="493"/>
      <c r="DA48" s="493"/>
      <c r="DB48" s="493"/>
      <c r="DC48" s="493"/>
      <c r="DD48" s="493"/>
      <c r="DE48" s="493"/>
      <c r="DF48" s="493"/>
      <c r="DG48" s="493"/>
      <c r="DH48" s="493"/>
      <c r="DI48" s="493"/>
      <c r="DJ48" s="493"/>
      <c r="DK48" s="493"/>
      <c r="DL48" s="493"/>
      <c r="DM48" s="493"/>
      <c r="DN48" s="493"/>
      <c r="DO48" s="493"/>
      <c r="DP48" s="493"/>
      <c r="DQ48" s="493"/>
      <c r="DR48" s="493"/>
      <c r="DS48" s="493"/>
      <c r="DT48" s="493"/>
      <c r="DU48" s="493"/>
      <c r="DV48" s="493"/>
      <c r="DW48" s="493"/>
      <c r="DX48" s="493"/>
      <c r="DY48" s="493"/>
      <c r="DZ48" s="493"/>
      <c r="EA48" s="493"/>
      <c r="EB48" s="493"/>
      <c r="EC48" s="493"/>
      <c r="ED48" s="493"/>
      <c r="EE48" s="493"/>
      <c r="EF48" s="493"/>
      <c r="EG48" s="493"/>
      <c r="EH48" s="493"/>
      <c r="EI48" s="493"/>
      <c r="EJ48" s="493"/>
      <c r="EK48" s="493"/>
      <c r="EL48" s="493"/>
      <c r="EM48" s="493"/>
      <c r="EN48" s="493"/>
      <c r="EO48" s="493"/>
      <c r="EP48" s="493"/>
      <c r="EQ48" s="493"/>
      <c r="ER48" s="493"/>
      <c r="ES48" s="493"/>
      <c r="ET48" s="493"/>
      <c r="EU48" s="493"/>
      <c r="EV48" s="493"/>
      <c r="EW48" s="493"/>
      <c r="EX48" s="493"/>
      <c r="EY48" s="493"/>
      <c r="EZ48" s="493"/>
      <c r="FA48" s="493"/>
      <c r="FB48" s="493"/>
      <c r="FC48" s="493"/>
      <c r="FD48" s="493"/>
      <c r="FE48" s="493"/>
      <c r="FF48" s="493"/>
      <c r="FG48" s="493"/>
      <c r="FH48" s="493"/>
      <c r="FI48" s="493"/>
      <c r="FJ48" s="493"/>
      <c r="FK48" s="493"/>
      <c r="FL48" s="493"/>
      <c r="FM48" s="493"/>
      <c r="FN48" s="493"/>
      <c r="FO48" s="493"/>
      <c r="FP48" s="493"/>
      <c r="FQ48" s="493"/>
      <c r="FR48" s="493"/>
      <c r="FS48" s="493"/>
      <c r="FT48" s="493"/>
      <c r="FU48" s="493"/>
      <c r="FV48" s="493"/>
      <c r="FW48" s="493"/>
      <c r="FX48" s="493"/>
      <c r="FY48" s="493"/>
      <c r="FZ48" s="493"/>
      <c r="GA48" s="493"/>
      <c r="GB48" s="493"/>
      <c r="GC48" s="493"/>
      <c r="GD48" s="493"/>
    </row>
    <row r="49" spans="3:186" ht="15" customHeight="1">
      <c r="C49" s="76"/>
      <c r="E49" s="89"/>
      <c r="F49" s="76"/>
      <c r="G49" s="89"/>
      <c r="I49" s="76"/>
      <c r="J49" s="89"/>
      <c r="K49" s="158"/>
      <c r="L49" s="76"/>
      <c r="M49" s="89"/>
      <c r="O49" s="492"/>
      <c r="P49" s="492"/>
      <c r="Q49" s="492"/>
      <c r="R49" s="492"/>
      <c r="S49" s="492"/>
      <c r="T49" s="492"/>
      <c r="U49" s="492"/>
      <c r="V49" s="492"/>
      <c r="W49" s="492"/>
      <c r="X49" s="492"/>
      <c r="Y49" s="492"/>
      <c r="Z49" s="492"/>
      <c r="AA49" s="492"/>
      <c r="AB49" s="492"/>
      <c r="AC49" s="492"/>
      <c r="AD49" s="492"/>
      <c r="AE49" s="492"/>
      <c r="AF49" s="492"/>
      <c r="AG49" s="492"/>
      <c r="AH49" s="493"/>
      <c r="AI49" s="493"/>
      <c r="AJ49" s="493"/>
      <c r="AK49" s="493"/>
      <c r="AL49" s="493"/>
      <c r="AM49" s="493"/>
      <c r="AN49" s="493"/>
      <c r="AO49" s="493"/>
      <c r="AP49" s="493"/>
      <c r="AQ49" s="493"/>
      <c r="AR49" s="493"/>
      <c r="AS49" s="493"/>
      <c r="AT49" s="493"/>
      <c r="AU49" s="493"/>
      <c r="AV49" s="493"/>
      <c r="AW49" s="493"/>
      <c r="AX49" s="493"/>
      <c r="AY49" s="493"/>
      <c r="AZ49" s="493"/>
      <c r="BA49" s="493"/>
      <c r="BB49" s="493"/>
      <c r="BC49" s="493"/>
      <c r="BD49" s="493"/>
      <c r="BE49" s="493"/>
      <c r="BF49" s="493"/>
      <c r="BG49" s="493"/>
      <c r="BH49" s="493"/>
      <c r="BI49" s="493"/>
      <c r="BJ49" s="493"/>
      <c r="BK49" s="493"/>
      <c r="BL49" s="493"/>
      <c r="BM49" s="493"/>
      <c r="BN49" s="493"/>
      <c r="BO49" s="493"/>
      <c r="BP49" s="493"/>
      <c r="BQ49" s="493"/>
      <c r="BR49" s="493"/>
      <c r="BS49" s="493"/>
      <c r="BT49" s="493"/>
      <c r="BU49" s="493"/>
      <c r="BV49" s="493"/>
      <c r="BW49" s="493"/>
      <c r="BX49" s="493"/>
      <c r="BY49" s="493"/>
      <c r="BZ49" s="493"/>
      <c r="CA49" s="493"/>
      <c r="CB49" s="493"/>
      <c r="CC49" s="493"/>
      <c r="CD49" s="493"/>
      <c r="CE49" s="493"/>
      <c r="CF49" s="493"/>
      <c r="CG49" s="493"/>
      <c r="CH49" s="493"/>
      <c r="CI49" s="493"/>
      <c r="CJ49" s="493"/>
      <c r="CK49" s="493"/>
      <c r="CL49" s="493"/>
      <c r="CM49" s="493"/>
      <c r="CN49" s="493"/>
      <c r="CO49" s="493"/>
      <c r="CP49" s="493"/>
      <c r="CQ49" s="493"/>
      <c r="CR49" s="493"/>
      <c r="CS49" s="493"/>
      <c r="CT49" s="493"/>
      <c r="CU49" s="493"/>
      <c r="CV49" s="493"/>
      <c r="CW49" s="493"/>
      <c r="CX49" s="493"/>
      <c r="CY49" s="493"/>
      <c r="CZ49" s="493"/>
      <c r="DA49" s="493"/>
      <c r="DB49" s="493"/>
      <c r="DC49" s="493"/>
      <c r="DD49" s="493"/>
      <c r="DE49" s="493"/>
      <c r="DF49" s="493"/>
      <c r="DG49" s="493"/>
      <c r="DH49" s="493"/>
      <c r="DI49" s="493"/>
      <c r="DJ49" s="493"/>
      <c r="DK49" s="493"/>
      <c r="DL49" s="493"/>
      <c r="DM49" s="493"/>
      <c r="DN49" s="493"/>
      <c r="DO49" s="493"/>
      <c r="DP49" s="493"/>
      <c r="DQ49" s="493"/>
      <c r="DR49" s="493"/>
      <c r="DS49" s="493"/>
      <c r="DT49" s="493"/>
      <c r="DU49" s="493"/>
      <c r="DV49" s="493"/>
      <c r="DW49" s="493"/>
      <c r="DX49" s="493"/>
      <c r="DY49" s="493"/>
      <c r="DZ49" s="493"/>
      <c r="EA49" s="493"/>
      <c r="EB49" s="493"/>
      <c r="EC49" s="493"/>
      <c r="ED49" s="493"/>
      <c r="EE49" s="493"/>
      <c r="EF49" s="493"/>
      <c r="EG49" s="493"/>
      <c r="EH49" s="493"/>
      <c r="EI49" s="493"/>
      <c r="EJ49" s="493"/>
      <c r="EK49" s="493"/>
      <c r="EL49" s="493"/>
      <c r="EM49" s="493"/>
      <c r="EN49" s="493"/>
      <c r="EO49" s="493"/>
      <c r="EP49" s="493"/>
      <c r="EQ49" s="493"/>
      <c r="ER49" s="493"/>
      <c r="ES49" s="493"/>
      <c r="ET49" s="493"/>
      <c r="EU49" s="493"/>
      <c r="EV49" s="493"/>
      <c r="EW49" s="493"/>
      <c r="EX49" s="493"/>
      <c r="EY49" s="493"/>
      <c r="EZ49" s="493"/>
      <c r="FA49" s="493"/>
      <c r="FB49" s="493"/>
      <c r="FC49" s="493"/>
      <c r="FD49" s="493"/>
      <c r="FE49" s="493"/>
      <c r="FF49" s="493"/>
      <c r="FG49" s="493"/>
      <c r="FH49" s="493"/>
      <c r="FI49" s="493"/>
      <c r="FJ49" s="493"/>
      <c r="FK49" s="493"/>
      <c r="FL49" s="493"/>
      <c r="FM49" s="493"/>
      <c r="FN49" s="493"/>
      <c r="FO49" s="493"/>
      <c r="FP49" s="493"/>
      <c r="FQ49" s="493"/>
      <c r="FR49" s="493"/>
      <c r="FS49" s="493"/>
      <c r="FT49" s="493"/>
      <c r="FU49" s="493"/>
      <c r="FV49" s="493"/>
      <c r="FW49" s="493"/>
      <c r="FX49" s="493"/>
      <c r="FY49" s="493"/>
      <c r="FZ49" s="493"/>
      <c r="GA49" s="493"/>
      <c r="GB49" s="493"/>
      <c r="GC49" s="493"/>
      <c r="GD49" s="493"/>
    </row>
    <row r="50" spans="3:186" ht="15" customHeight="1">
      <c r="C50" s="76"/>
      <c r="E50" s="89"/>
      <c r="F50" s="76"/>
      <c r="G50" s="89"/>
      <c r="I50" s="76"/>
      <c r="J50" s="89"/>
      <c r="K50" s="158"/>
      <c r="L50" s="76"/>
      <c r="M50" s="89"/>
      <c r="O50" s="492"/>
      <c r="P50" s="492"/>
      <c r="Q50" s="492"/>
      <c r="R50" s="492"/>
      <c r="S50" s="492"/>
      <c r="T50" s="492"/>
      <c r="U50" s="492"/>
      <c r="V50" s="492"/>
      <c r="W50" s="492"/>
      <c r="X50" s="492"/>
      <c r="Y50" s="492"/>
      <c r="Z50" s="492"/>
      <c r="AA50" s="492"/>
      <c r="AB50" s="492"/>
      <c r="AC50" s="492"/>
      <c r="AD50" s="492"/>
      <c r="AE50" s="492"/>
      <c r="AF50" s="492"/>
      <c r="AG50" s="492"/>
      <c r="AH50" s="493"/>
      <c r="AI50" s="493"/>
      <c r="AJ50" s="493"/>
      <c r="AK50" s="493"/>
      <c r="AL50" s="493"/>
      <c r="AM50" s="493"/>
      <c r="AN50" s="493"/>
      <c r="AO50" s="493"/>
      <c r="AP50" s="493"/>
      <c r="AQ50" s="493"/>
      <c r="AR50" s="493"/>
      <c r="AS50" s="493"/>
      <c r="AT50" s="493"/>
      <c r="AU50" s="493"/>
      <c r="AV50" s="493"/>
      <c r="AW50" s="493"/>
      <c r="AX50" s="493"/>
      <c r="AY50" s="493"/>
      <c r="AZ50" s="493"/>
      <c r="BA50" s="493"/>
      <c r="BB50" s="493"/>
      <c r="BC50" s="493"/>
      <c r="BD50" s="493"/>
      <c r="BE50" s="493"/>
      <c r="BF50" s="493"/>
      <c r="BG50" s="493"/>
      <c r="BH50" s="493"/>
      <c r="BI50" s="493"/>
      <c r="BJ50" s="493"/>
      <c r="BK50" s="493"/>
      <c r="BL50" s="493"/>
      <c r="BM50" s="493"/>
      <c r="BN50" s="493"/>
      <c r="BO50" s="493"/>
      <c r="BP50" s="493"/>
      <c r="BQ50" s="493"/>
      <c r="BR50" s="493"/>
      <c r="BS50" s="493"/>
      <c r="BT50" s="493"/>
      <c r="BU50" s="493"/>
      <c r="BV50" s="493"/>
      <c r="BW50" s="493"/>
      <c r="BX50" s="493"/>
      <c r="BY50" s="493"/>
      <c r="BZ50" s="493"/>
      <c r="CA50" s="493"/>
      <c r="CB50" s="493"/>
      <c r="CC50" s="493"/>
      <c r="CD50" s="493"/>
      <c r="CE50" s="493"/>
      <c r="CF50" s="493"/>
      <c r="CG50" s="493"/>
      <c r="CH50" s="493"/>
      <c r="CI50" s="493"/>
      <c r="CJ50" s="493"/>
      <c r="CK50" s="493"/>
      <c r="CL50" s="493"/>
      <c r="CM50" s="493"/>
      <c r="CN50" s="493"/>
      <c r="CO50" s="493"/>
      <c r="CP50" s="493"/>
      <c r="CQ50" s="493"/>
      <c r="CR50" s="493"/>
      <c r="CS50" s="493"/>
      <c r="CT50" s="493"/>
      <c r="CU50" s="493"/>
      <c r="CV50" s="493"/>
      <c r="CW50" s="493"/>
      <c r="CX50" s="493"/>
      <c r="CY50" s="493"/>
      <c r="CZ50" s="493"/>
      <c r="DA50" s="493"/>
      <c r="DB50" s="493"/>
      <c r="DC50" s="493"/>
      <c r="DD50" s="493"/>
      <c r="DE50" s="493"/>
      <c r="DF50" s="493"/>
      <c r="DG50" s="493"/>
      <c r="DH50" s="493"/>
      <c r="DI50" s="493"/>
      <c r="DJ50" s="493"/>
      <c r="DK50" s="493"/>
      <c r="DL50" s="493"/>
      <c r="DM50" s="493"/>
      <c r="DN50" s="493"/>
      <c r="DO50" s="493"/>
      <c r="DP50" s="493"/>
      <c r="DQ50" s="493"/>
      <c r="DR50" s="493"/>
      <c r="DS50" s="493"/>
      <c r="DT50" s="493"/>
      <c r="DU50" s="493"/>
      <c r="DV50" s="493"/>
      <c r="DW50" s="493"/>
      <c r="DX50" s="493"/>
      <c r="DY50" s="493"/>
      <c r="DZ50" s="493"/>
      <c r="EA50" s="493"/>
      <c r="EB50" s="493"/>
      <c r="EC50" s="493"/>
      <c r="ED50" s="493"/>
      <c r="EE50" s="493"/>
      <c r="EF50" s="493"/>
      <c r="EG50" s="493"/>
      <c r="EH50" s="493"/>
      <c r="EI50" s="493"/>
      <c r="EJ50" s="493"/>
      <c r="EK50" s="493"/>
      <c r="EL50" s="493"/>
      <c r="EM50" s="493"/>
      <c r="EN50" s="493"/>
      <c r="EO50" s="493"/>
      <c r="EP50" s="493"/>
      <c r="EQ50" s="493"/>
      <c r="ER50" s="493"/>
      <c r="ES50" s="493"/>
      <c r="ET50" s="493"/>
      <c r="EU50" s="493"/>
      <c r="EV50" s="493"/>
      <c r="EW50" s="493"/>
      <c r="EX50" s="493"/>
      <c r="EY50" s="493"/>
      <c r="EZ50" s="493"/>
      <c r="FA50" s="493"/>
      <c r="FB50" s="493"/>
      <c r="FC50" s="493"/>
      <c r="FD50" s="493"/>
      <c r="FE50" s="493"/>
      <c r="FF50" s="493"/>
      <c r="FG50" s="493"/>
      <c r="FH50" s="493"/>
      <c r="FI50" s="493"/>
      <c r="FJ50" s="493"/>
      <c r="FK50" s="493"/>
      <c r="FL50" s="493"/>
      <c r="FM50" s="493"/>
      <c r="FN50" s="493"/>
      <c r="FO50" s="493"/>
      <c r="FP50" s="493"/>
      <c r="FQ50" s="493"/>
      <c r="FR50" s="493"/>
      <c r="FS50" s="493"/>
      <c r="FT50" s="493"/>
      <c r="FU50" s="493"/>
      <c r="FV50" s="493"/>
      <c r="FW50" s="493"/>
      <c r="FX50" s="493"/>
      <c r="FY50" s="493"/>
      <c r="FZ50" s="493"/>
      <c r="GA50" s="493"/>
      <c r="GB50" s="493"/>
      <c r="GC50" s="493"/>
      <c r="GD50" s="493"/>
    </row>
    <row r="51" spans="3:186" ht="15" customHeight="1">
      <c r="C51" s="76"/>
      <c r="E51" s="89"/>
      <c r="F51" s="76"/>
      <c r="G51" s="89"/>
      <c r="I51" s="76"/>
      <c r="J51" s="89"/>
      <c r="K51" s="158"/>
      <c r="L51" s="76"/>
      <c r="M51" s="89"/>
      <c r="O51" s="492"/>
      <c r="P51" s="494"/>
      <c r="Q51" s="494"/>
      <c r="R51" s="494"/>
      <c r="S51" s="492"/>
      <c r="T51" s="492"/>
      <c r="U51" s="492"/>
      <c r="V51" s="492"/>
      <c r="W51" s="492"/>
      <c r="X51" s="492"/>
      <c r="Y51" s="492"/>
      <c r="Z51" s="492"/>
      <c r="AA51" s="492"/>
      <c r="AB51" s="492"/>
      <c r="AC51" s="492"/>
      <c r="AD51" s="492"/>
      <c r="AE51" s="492"/>
      <c r="AF51" s="492"/>
      <c r="AG51" s="492"/>
      <c r="AH51" s="493"/>
      <c r="AI51" s="493"/>
      <c r="AJ51" s="493"/>
      <c r="AK51" s="493"/>
      <c r="AL51" s="493"/>
      <c r="AM51" s="493"/>
      <c r="AN51" s="493"/>
      <c r="AO51" s="493"/>
      <c r="AP51" s="493"/>
      <c r="AQ51" s="493"/>
      <c r="AR51" s="493"/>
      <c r="AS51" s="493"/>
      <c r="AT51" s="493"/>
      <c r="AU51" s="493"/>
      <c r="AV51" s="493"/>
      <c r="AW51" s="493"/>
      <c r="AX51" s="493"/>
      <c r="AY51" s="493"/>
      <c r="AZ51" s="493"/>
      <c r="BA51" s="493"/>
      <c r="BB51" s="493"/>
      <c r="BC51" s="493"/>
      <c r="BD51" s="493"/>
      <c r="BE51" s="493"/>
      <c r="BF51" s="493"/>
      <c r="BG51" s="493"/>
      <c r="BH51" s="493"/>
      <c r="BI51" s="493"/>
      <c r="BJ51" s="493"/>
      <c r="BK51" s="493"/>
      <c r="BL51" s="493"/>
      <c r="BM51" s="493"/>
      <c r="BN51" s="493"/>
      <c r="BO51" s="493"/>
      <c r="BP51" s="493"/>
      <c r="BQ51" s="493"/>
      <c r="BR51" s="493"/>
      <c r="BS51" s="493"/>
      <c r="BT51" s="493"/>
      <c r="BU51" s="493"/>
      <c r="BV51" s="493"/>
      <c r="BW51" s="493"/>
      <c r="BX51" s="493"/>
      <c r="BY51" s="493"/>
      <c r="BZ51" s="493"/>
      <c r="CA51" s="493"/>
      <c r="CB51" s="493"/>
      <c r="CC51" s="493"/>
      <c r="CD51" s="493"/>
      <c r="CE51" s="493"/>
      <c r="CF51" s="493"/>
      <c r="CG51" s="493"/>
      <c r="CH51" s="493"/>
      <c r="CI51" s="493"/>
      <c r="CJ51" s="493"/>
      <c r="CK51" s="493"/>
      <c r="CL51" s="493"/>
      <c r="CM51" s="493"/>
      <c r="CN51" s="493"/>
      <c r="CO51" s="493"/>
      <c r="CP51" s="493"/>
      <c r="CQ51" s="493"/>
      <c r="CR51" s="493"/>
      <c r="CS51" s="493"/>
      <c r="CT51" s="493"/>
      <c r="CU51" s="493"/>
      <c r="CV51" s="493"/>
      <c r="CW51" s="493"/>
      <c r="CX51" s="493"/>
      <c r="CY51" s="493"/>
      <c r="CZ51" s="493"/>
      <c r="DA51" s="493"/>
      <c r="DB51" s="493"/>
      <c r="DC51" s="493"/>
      <c r="DD51" s="493"/>
      <c r="DE51" s="493"/>
      <c r="DF51" s="493"/>
      <c r="DG51" s="493"/>
      <c r="DH51" s="493"/>
      <c r="DI51" s="493"/>
      <c r="DJ51" s="493"/>
      <c r="DK51" s="493"/>
      <c r="DL51" s="493"/>
      <c r="DM51" s="493"/>
      <c r="DN51" s="493"/>
      <c r="DO51" s="493"/>
      <c r="DP51" s="493"/>
      <c r="DQ51" s="493"/>
      <c r="DR51" s="493"/>
      <c r="DS51" s="493"/>
      <c r="DT51" s="493"/>
      <c r="DU51" s="493"/>
      <c r="DV51" s="493"/>
      <c r="DW51" s="493"/>
      <c r="DX51" s="493"/>
      <c r="DY51" s="493"/>
      <c r="DZ51" s="493"/>
      <c r="EA51" s="493"/>
      <c r="EB51" s="493"/>
      <c r="EC51" s="493"/>
      <c r="ED51" s="493"/>
      <c r="EE51" s="493"/>
      <c r="EF51" s="493"/>
      <c r="EG51" s="493"/>
      <c r="EH51" s="493"/>
      <c r="EI51" s="493"/>
      <c r="EJ51" s="493"/>
      <c r="EK51" s="493"/>
      <c r="EL51" s="493"/>
      <c r="EM51" s="493"/>
      <c r="EN51" s="493"/>
      <c r="EO51" s="493"/>
      <c r="EP51" s="493"/>
      <c r="EQ51" s="493"/>
      <c r="ER51" s="493"/>
      <c r="ES51" s="493"/>
      <c r="ET51" s="493"/>
      <c r="EU51" s="493"/>
      <c r="EV51" s="493"/>
      <c r="EW51" s="493"/>
      <c r="EX51" s="493"/>
      <c r="EY51" s="493"/>
      <c r="EZ51" s="493"/>
      <c r="FA51" s="493"/>
      <c r="FB51" s="493"/>
      <c r="FC51" s="493"/>
      <c r="FD51" s="493"/>
      <c r="FE51" s="493"/>
      <c r="FF51" s="493"/>
      <c r="FG51" s="493"/>
      <c r="FH51" s="493"/>
      <c r="FI51" s="493"/>
      <c r="FJ51" s="493"/>
      <c r="FK51" s="493"/>
      <c r="FL51" s="493"/>
      <c r="FM51" s="493"/>
      <c r="FN51" s="493"/>
      <c r="FO51" s="493"/>
      <c r="FP51" s="493"/>
      <c r="FQ51" s="493"/>
      <c r="FR51" s="493"/>
      <c r="FS51" s="493"/>
      <c r="FT51" s="493"/>
      <c r="FU51" s="493"/>
      <c r="FV51" s="493"/>
      <c r="FW51" s="493"/>
      <c r="FX51" s="493"/>
      <c r="FY51" s="493"/>
      <c r="FZ51" s="493"/>
      <c r="GA51" s="493"/>
      <c r="GB51" s="493"/>
      <c r="GC51" s="493"/>
      <c r="GD51" s="493"/>
    </row>
    <row r="52" spans="3:186" ht="15" customHeight="1">
      <c r="C52" s="76"/>
      <c r="E52" s="89"/>
      <c r="F52" s="76"/>
      <c r="G52" s="89"/>
      <c r="I52" s="76"/>
      <c r="J52" s="89"/>
      <c r="K52" s="158"/>
      <c r="L52" s="76"/>
      <c r="M52" s="89"/>
      <c r="O52" s="492"/>
      <c r="P52" s="492"/>
      <c r="Q52" s="492"/>
      <c r="R52" s="492"/>
      <c r="S52" s="492"/>
      <c r="T52" s="492"/>
      <c r="U52" s="492"/>
      <c r="V52" s="492"/>
      <c r="W52" s="492"/>
      <c r="X52" s="492"/>
      <c r="Y52" s="492"/>
      <c r="Z52" s="492"/>
      <c r="AA52" s="492"/>
      <c r="AB52" s="492"/>
      <c r="AC52" s="492"/>
      <c r="AD52" s="492"/>
      <c r="AE52" s="492"/>
      <c r="AF52" s="492"/>
      <c r="AG52" s="492"/>
      <c r="AH52" s="493"/>
      <c r="AI52" s="493"/>
      <c r="AJ52" s="493"/>
      <c r="AK52" s="493"/>
      <c r="AL52" s="493"/>
      <c r="AM52" s="493"/>
      <c r="AN52" s="493"/>
      <c r="AO52" s="493"/>
      <c r="AP52" s="493"/>
      <c r="AQ52" s="493"/>
      <c r="AR52" s="493"/>
      <c r="AS52" s="493"/>
      <c r="AT52" s="493"/>
      <c r="AU52" s="493"/>
      <c r="AV52" s="493"/>
      <c r="AW52" s="493"/>
      <c r="AX52" s="493"/>
      <c r="AY52" s="493"/>
      <c r="AZ52" s="493"/>
      <c r="BA52" s="493"/>
      <c r="BB52" s="493"/>
      <c r="BC52" s="493"/>
      <c r="BD52" s="493"/>
      <c r="BE52" s="493"/>
      <c r="BF52" s="493"/>
      <c r="BG52" s="493"/>
      <c r="BH52" s="493"/>
      <c r="BI52" s="493"/>
      <c r="BJ52" s="493"/>
      <c r="BK52" s="493"/>
      <c r="BL52" s="493"/>
      <c r="BM52" s="493"/>
      <c r="BN52" s="493"/>
      <c r="BO52" s="493"/>
      <c r="BP52" s="493"/>
      <c r="BQ52" s="493"/>
      <c r="BR52" s="493"/>
      <c r="BS52" s="493"/>
      <c r="BT52" s="493"/>
      <c r="BU52" s="493"/>
      <c r="BV52" s="493"/>
      <c r="BW52" s="493"/>
      <c r="BX52" s="493"/>
      <c r="BY52" s="493"/>
      <c r="BZ52" s="493"/>
      <c r="CA52" s="493"/>
      <c r="CB52" s="493"/>
      <c r="CC52" s="493"/>
      <c r="CD52" s="493"/>
      <c r="CE52" s="493"/>
      <c r="CF52" s="493"/>
      <c r="CG52" s="493"/>
      <c r="CH52" s="493"/>
      <c r="CI52" s="493"/>
      <c r="CJ52" s="493"/>
      <c r="CK52" s="493"/>
      <c r="CL52" s="493"/>
      <c r="CM52" s="493"/>
      <c r="CN52" s="493"/>
      <c r="CO52" s="493"/>
      <c r="CP52" s="493"/>
      <c r="CQ52" s="493"/>
      <c r="CR52" s="493"/>
      <c r="CS52" s="493"/>
      <c r="CT52" s="493"/>
      <c r="CU52" s="493"/>
      <c r="CV52" s="493"/>
      <c r="CW52" s="493"/>
      <c r="CX52" s="493"/>
      <c r="CY52" s="493"/>
      <c r="CZ52" s="493"/>
      <c r="DA52" s="493"/>
      <c r="DB52" s="493"/>
      <c r="DC52" s="493"/>
      <c r="DD52" s="493"/>
      <c r="DE52" s="493"/>
      <c r="DF52" s="493"/>
      <c r="DG52" s="493"/>
      <c r="DH52" s="493"/>
      <c r="DI52" s="493"/>
      <c r="DJ52" s="493"/>
      <c r="DK52" s="493"/>
      <c r="DL52" s="493"/>
      <c r="DM52" s="493"/>
      <c r="DN52" s="493"/>
      <c r="DO52" s="493"/>
      <c r="DP52" s="493"/>
      <c r="DQ52" s="493"/>
      <c r="DR52" s="493"/>
      <c r="DS52" s="493"/>
      <c r="DT52" s="493"/>
      <c r="DU52" s="493"/>
      <c r="DV52" s="493"/>
      <c r="DW52" s="493"/>
      <c r="DX52" s="493"/>
      <c r="DY52" s="493"/>
      <c r="DZ52" s="493"/>
      <c r="EA52" s="493"/>
      <c r="EB52" s="493"/>
      <c r="EC52" s="493"/>
      <c r="ED52" s="493"/>
      <c r="EE52" s="493"/>
      <c r="EF52" s="493"/>
      <c r="EG52" s="493"/>
      <c r="EH52" s="493"/>
      <c r="EI52" s="493"/>
      <c r="EJ52" s="493"/>
      <c r="EK52" s="493"/>
      <c r="EL52" s="493"/>
      <c r="EM52" s="493"/>
      <c r="EN52" s="493"/>
      <c r="EO52" s="493"/>
      <c r="EP52" s="493"/>
      <c r="EQ52" s="493"/>
      <c r="ER52" s="493"/>
      <c r="ES52" s="493"/>
      <c r="ET52" s="493"/>
      <c r="EU52" s="493"/>
      <c r="EV52" s="493"/>
      <c r="EW52" s="493"/>
      <c r="EX52" s="493"/>
      <c r="EY52" s="493"/>
      <c r="EZ52" s="493"/>
      <c r="FA52" s="493"/>
      <c r="FB52" s="493"/>
      <c r="FC52" s="493"/>
      <c r="FD52" s="493"/>
      <c r="FE52" s="493"/>
      <c r="FF52" s="493"/>
      <c r="FG52" s="493"/>
      <c r="FH52" s="493"/>
      <c r="FI52" s="493"/>
      <c r="FJ52" s="493"/>
      <c r="FK52" s="493"/>
      <c r="FL52" s="493"/>
      <c r="FM52" s="493"/>
      <c r="FN52" s="493"/>
      <c r="FO52" s="493"/>
      <c r="FP52" s="493"/>
      <c r="FQ52" s="493"/>
      <c r="FR52" s="493"/>
      <c r="FS52" s="493"/>
      <c r="FT52" s="493"/>
      <c r="FU52" s="493"/>
      <c r="FV52" s="493"/>
      <c r="FW52" s="493"/>
      <c r="FX52" s="493"/>
      <c r="FY52" s="493"/>
      <c r="FZ52" s="493"/>
      <c r="GA52" s="493"/>
      <c r="GB52" s="493"/>
      <c r="GC52" s="493"/>
      <c r="GD52" s="493"/>
    </row>
    <row r="53" spans="3:186" ht="15" customHeight="1">
      <c r="C53" s="76"/>
      <c r="E53" s="89"/>
      <c r="F53" s="76"/>
      <c r="G53" s="89"/>
      <c r="I53" s="76"/>
      <c r="J53" s="89"/>
      <c r="K53" s="158"/>
      <c r="L53" s="76"/>
      <c r="M53" s="89"/>
      <c r="O53" s="492"/>
      <c r="P53" s="492"/>
      <c r="Q53" s="492"/>
      <c r="R53" s="492"/>
      <c r="S53" s="492"/>
      <c r="T53" s="492"/>
      <c r="U53" s="492"/>
      <c r="V53" s="492"/>
      <c r="W53" s="492"/>
      <c r="X53" s="492"/>
      <c r="Y53" s="492"/>
      <c r="Z53" s="492"/>
      <c r="AA53" s="492"/>
      <c r="AB53" s="492"/>
      <c r="AC53" s="492"/>
      <c r="AD53" s="492"/>
      <c r="AE53" s="492"/>
      <c r="AF53" s="492"/>
      <c r="AG53" s="492"/>
      <c r="AH53" s="493"/>
      <c r="AI53" s="493"/>
      <c r="AJ53" s="493"/>
      <c r="AK53" s="493"/>
      <c r="AL53" s="493"/>
      <c r="AM53" s="493"/>
      <c r="AN53" s="493"/>
      <c r="AO53" s="493"/>
      <c r="AP53" s="493"/>
      <c r="AQ53" s="493"/>
      <c r="AR53" s="493"/>
      <c r="AS53" s="493"/>
      <c r="AT53" s="493"/>
      <c r="AU53" s="493"/>
      <c r="AV53" s="493"/>
      <c r="AW53" s="493"/>
      <c r="AX53" s="493"/>
      <c r="AY53" s="493"/>
      <c r="AZ53" s="493"/>
      <c r="BA53" s="493"/>
      <c r="BB53" s="493"/>
      <c r="BC53" s="493"/>
      <c r="BD53" s="493"/>
      <c r="BE53" s="493"/>
      <c r="BF53" s="493"/>
      <c r="BG53" s="493"/>
      <c r="BH53" s="493"/>
      <c r="BI53" s="493"/>
      <c r="BJ53" s="493"/>
      <c r="BK53" s="493"/>
      <c r="BL53" s="493"/>
      <c r="BM53" s="493"/>
      <c r="BN53" s="493"/>
      <c r="BO53" s="493"/>
      <c r="BP53" s="493"/>
      <c r="BQ53" s="493"/>
      <c r="BR53" s="493"/>
      <c r="BS53" s="493"/>
      <c r="BT53" s="493"/>
      <c r="BU53" s="493"/>
      <c r="BV53" s="493"/>
      <c r="BW53" s="493"/>
      <c r="BX53" s="493"/>
      <c r="BY53" s="493"/>
      <c r="BZ53" s="493"/>
      <c r="CA53" s="493"/>
      <c r="CB53" s="493"/>
      <c r="CC53" s="493"/>
      <c r="CD53" s="493"/>
      <c r="CE53" s="493"/>
      <c r="CF53" s="493"/>
      <c r="CG53" s="493"/>
      <c r="CH53" s="493"/>
      <c r="CI53" s="493"/>
      <c r="CJ53" s="493"/>
      <c r="CK53" s="493"/>
      <c r="CL53" s="493"/>
      <c r="CM53" s="493"/>
      <c r="CN53" s="493"/>
      <c r="CO53" s="493"/>
      <c r="CP53" s="493"/>
      <c r="CQ53" s="493"/>
      <c r="CR53" s="493"/>
      <c r="CS53" s="493"/>
      <c r="CT53" s="493"/>
      <c r="CU53" s="493"/>
      <c r="CV53" s="493"/>
      <c r="CW53" s="493"/>
      <c r="CX53" s="493"/>
      <c r="CY53" s="493"/>
      <c r="CZ53" s="493"/>
      <c r="DA53" s="493"/>
      <c r="DB53" s="493"/>
      <c r="DC53" s="493"/>
      <c r="DD53" s="493"/>
      <c r="DE53" s="493"/>
      <c r="DF53" s="493"/>
      <c r="DG53" s="493"/>
      <c r="DH53" s="493"/>
      <c r="DI53" s="493"/>
      <c r="DJ53" s="493"/>
      <c r="DK53" s="493"/>
      <c r="DL53" s="493"/>
      <c r="DM53" s="493"/>
      <c r="DN53" s="493"/>
      <c r="DO53" s="493"/>
      <c r="DP53" s="493"/>
      <c r="DQ53" s="493"/>
      <c r="DR53" s="493"/>
      <c r="DS53" s="493"/>
      <c r="DT53" s="493"/>
      <c r="DU53" s="493"/>
      <c r="DV53" s="493"/>
      <c r="DW53" s="493"/>
      <c r="DX53" s="493"/>
      <c r="DY53" s="493"/>
      <c r="DZ53" s="493"/>
      <c r="EA53" s="493"/>
      <c r="EB53" s="493"/>
      <c r="EC53" s="493"/>
      <c r="ED53" s="493"/>
      <c r="EE53" s="493"/>
      <c r="EF53" s="493"/>
      <c r="EG53" s="493"/>
      <c r="EH53" s="493"/>
      <c r="EI53" s="493"/>
      <c r="EJ53" s="493"/>
      <c r="EK53" s="493"/>
      <c r="EL53" s="493"/>
      <c r="EM53" s="493"/>
      <c r="EN53" s="493"/>
      <c r="EO53" s="493"/>
      <c r="EP53" s="493"/>
      <c r="EQ53" s="493"/>
      <c r="ER53" s="493"/>
      <c r="ES53" s="493"/>
      <c r="ET53" s="493"/>
      <c r="EU53" s="493"/>
      <c r="EV53" s="493"/>
      <c r="EW53" s="493"/>
      <c r="EX53" s="493"/>
      <c r="EY53" s="493"/>
      <c r="EZ53" s="493"/>
      <c r="FA53" s="493"/>
      <c r="FB53" s="493"/>
      <c r="FC53" s="493"/>
      <c r="FD53" s="493"/>
      <c r="FE53" s="493"/>
      <c r="FF53" s="493"/>
      <c r="FG53" s="493"/>
      <c r="FH53" s="493"/>
      <c r="FI53" s="493"/>
      <c r="FJ53" s="493"/>
      <c r="FK53" s="493"/>
      <c r="FL53" s="493"/>
      <c r="FM53" s="493"/>
      <c r="FN53" s="493"/>
      <c r="FO53" s="493"/>
      <c r="FP53" s="493"/>
      <c r="FQ53" s="493"/>
      <c r="FR53" s="493"/>
      <c r="FS53" s="493"/>
      <c r="FT53" s="493"/>
      <c r="FU53" s="493"/>
      <c r="FV53" s="493"/>
      <c r="FW53" s="493"/>
      <c r="FX53" s="493"/>
      <c r="FY53" s="493"/>
      <c r="FZ53" s="493"/>
      <c r="GA53" s="493"/>
      <c r="GB53" s="493"/>
      <c r="GC53" s="493"/>
      <c r="GD53" s="493"/>
    </row>
    <row r="54" spans="3:186" ht="15" customHeight="1">
      <c r="C54" s="76"/>
      <c r="E54" s="89"/>
      <c r="F54" s="76"/>
      <c r="G54" s="89"/>
      <c r="I54" s="76"/>
      <c r="J54" s="89"/>
      <c r="K54" s="158"/>
      <c r="L54" s="76"/>
      <c r="M54" s="89"/>
      <c r="O54" s="492"/>
      <c r="P54" s="492"/>
      <c r="Q54" s="492"/>
      <c r="R54" s="492"/>
      <c r="S54" s="492"/>
      <c r="T54" s="492"/>
      <c r="U54" s="492"/>
      <c r="V54" s="492"/>
      <c r="W54" s="492"/>
      <c r="X54" s="492"/>
      <c r="Y54" s="492"/>
      <c r="Z54" s="492"/>
      <c r="AA54" s="492"/>
      <c r="AB54" s="492"/>
      <c r="AC54" s="492"/>
      <c r="AD54" s="492"/>
      <c r="AE54" s="492"/>
      <c r="AF54" s="492"/>
      <c r="AG54" s="492"/>
      <c r="AH54" s="493"/>
      <c r="AI54" s="493"/>
      <c r="AJ54" s="493"/>
      <c r="AK54" s="493"/>
      <c r="AL54" s="493"/>
      <c r="AM54" s="493"/>
      <c r="AN54" s="493"/>
      <c r="AO54" s="493"/>
      <c r="AP54" s="493"/>
      <c r="AQ54" s="493"/>
      <c r="AR54" s="493"/>
      <c r="AS54" s="493"/>
      <c r="AT54" s="493"/>
      <c r="AU54" s="493"/>
      <c r="AV54" s="493"/>
      <c r="AW54" s="493"/>
      <c r="AX54" s="493"/>
      <c r="AY54" s="493"/>
      <c r="AZ54" s="493"/>
      <c r="BA54" s="493"/>
      <c r="BB54" s="493"/>
      <c r="BC54" s="493"/>
      <c r="BD54" s="493"/>
      <c r="BE54" s="493"/>
      <c r="BF54" s="493"/>
      <c r="BG54" s="493"/>
      <c r="BH54" s="493"/>
      <c r="BI54" s="493"/>
      <c r="BJ54" s="493"/>
      <c r="BK54" s="493"/>
      <c r="BL54" s="493"/>
      <c r="BM54" s="493"/>
      <c r="BN54" s="493"/>
      <c r="BO54" s="493"/>
      <c r="BP54" s="493"/>
      <c r="BQ54" s="493"/>
      <c r="BR54" s="493"/>
      <c r="BS54" s="493"/>
      <c r="BT54" s="493"/>
      <c r="BU54" s="493"/>
      <c r="BV54" s="493"/>
      <c r="BW54" s="493"/>
      <c r="BX54" s="493"/>
      <c r="BY54" s="493"/>
      <c r="BZ54" s="493"/>
      <c r="CA54" s="493"/>
      <c r="CB54" s="493"/>
      <c r="CC54" s="493"/>
      <c r="CD54" s="493"/>
      <c r="CE54" s="493"/>
      <c r="CF54" s="493"/>
      <c r="CG54" s="493"/>
      <c r="CH54" s="493"/>
      <c r="CI54" s="493"/>
      <c r="CJ54" s="493"/>
      <c r="CK54" s="493"/>
      <c r="CL54" s="493"/>
      <c r="CM54" s="493"/>
      <c r="CN54" s="493"/>
      <c r="CO54" s="493"/>
      <c r="CP54" s="493"/>
      <c r="CQ54" s="493"/>
      <c r="CR54" s="493"/>
      <c r="CS54" s="493"/>
      <c r="CT54" s="493"/>
      <c r="CU54" s="493"/>
      <c r="CV54" s="493"/>
      <c r="CW54" s="493"/>
      <c r="CX54" s="493"/>
      <c r="CY54" s="493"/>
      <c r="CZ54" s="493"/>
      <c r="DA54" s="493"/>
      <c r="DB54" s="493"/>
      <c r="DC54" s="493"/>
      <c r="DD54" s="493"/>
      <c r="DE54" s="493"/>
      <c r="DF54" s="493"/>
      <c r="DG54" s="493"/>
      <c r="DH54" s="493"/>
      <c r="DI54" s="493"/>
      <c r="DJ54" s="493"/>
      <c r="DK54" s="493"/>
      <c r="DL54" s="493"/>
      <c r="DM54" s="493"/>
      <c r="DN54" s="493"/>
      <c r="DO54" s="493"/>
      <c r="DP54" s="493"/>
      <c r="DQ54" s="493"/>
      <c r="DR54" s="493"/>
      <c r="DS54" s="493"/>
      <c r="DT54" s="493"/>
      <c r="DU54" s="493"/>
      <c r="DV54" s="493"/>
      <c r="DW54" s="493"/>
      <c r="DX54" s="493"/>
      <c r="DY54" s="493"/>
      <c r="DZ54" s="493"/>
      <c r="EA54" s="493"/>
      <c r="EB54" s="493"/>
      <c r="EC54" s="493"/>
      <c r="ED54" s="493"/>
      <c r="EE54" s="493"/>
      <c r="EF54" s="493"/>
      <c r="EG54" s="493"/>
      <c r="EH54" s="493"/>
      <c r="EI54" s="493"/>
      <c r="EJ54" s="493"/>
      <c r="EK54" s="493"/>
      <c r="EL54" s="493"/>
      <c r="EM54" s="493"/>
      <c r="EN54" s="493"/>
      <c r="EO54" s="493"/>
      <c r="EP54" s="493"/>
      <c r="EQ54" s="493"/>
      <c r="ER54" s="493"/>
      <c r="ES54" s="493"/>
      <c r="ET54" s="493"/>
      <c r="EU54" s="493"/>
      <c r="EV54" s="493"/>
      <c r="EW54" s="493"/>
      <c r="EX54" s="493"/>
      <c r="EY54" s="493"/>
      <c r="EZ54" s="493"/>
      <c r="FA54" s="493"/>
      <c r="FB54" s="493"/>
      <c r="FC54" s="493"/>
      <c r="FD54" s="493"/>
      <c r="FE54" s="493"/>
      <c r="FF54" s="493"/>
      <c r="FG54" s="493"/>
      <c r="FH54" s="493"/>
      <c r="FI54" s="493"/>
      <c r="FJ54" s="493"/>
      <c r="FK54" s="493"/>
      <c r="FL54" s="493"/>
      <c r="FM54" s="493"/>
      <c r="FN54" s="493"/>
      <c r="FO54" s="493"/>
      <c r="FP54" s="493"/>
      <c r="FQ54" s="493"/>
      <c r="FR54" s="493"/>
      <c r="FS54" s="493"/>
      <c r="FT54" s="493"/>
      <c r="FU54" s="493"/>
      <c r="FV54" s="493"/>
      <c r="FW54" s="493"/>
      <c r="FX54" s="493"/>
      <c r="FY54" s="493"/>
      <c r="FZ54" s="493"/>
      <c r="GA54" s="493"/>
      <c r="GB54" s="493"/>
      <c r="GC54" s="493"/>
      <c r="GD54" s="493"/>
    </row>
    <row r="55" spans="3:186" ht="15" customHeight="1">
      <c r="C55" s="76"/>
      <c r="E55" s="89"/>
      <c r="F55" s="76"/>
      <c r="G55" s="89"/>
      <c r="I55" s="76"/>
      <c r="J55" s="89"/>
      <c r="K55" s="158"/>
      <c r="L55" s="76"/>
      <c r="M55" s="89"/>
      <c r="O55" s="492"/>
      <c r="P55" s="492"/>
      <c r="Q55" s="492"/>
      <c r="R55" s="492"/>
      <c r="S55" s="492"/>
      <c r="T55" s="492"/>
      <c r="U55" s="492"/>
      <c r="V55" s="492"/>
      <c r="W55" s="492"/>
      <c r="X55" s="492"/>
      <c r="Y55" s="492"/>
      <c r="Z55" s="492"/>
      <c r="AA55" s="492"/>
      <c r="AB55" s="492"/>
      <c r="AC55" s="492"/>
      <c r="AD55" s="492"/>
      <c r="AE55" s="492"/>
      <c r="AF55" s="492"/>
      <c r="AG55" s="492"/>
      <c r="AH55" s="493"/>
      <c r="AI55" s="493"/>
      <c r="AJ55" s="493"/>
      <c r="AK55" s="493"/>
      <c r="AL55" s="493"/>
      <c r="AM55" s="493"/>
      <c r="AN55" s="493"/>
      <c r="AO55" s="493"/>
      <c r="AP55" s="493"/>
      <c r="AQ55" s="493"/>
      <c r="AR55" s="493"/>
      <c r="AS55" s="493"/>
      <c r="AT55" s="493"/>
      <c r="AU55" s="493"/>
      <c r="AV55" s="493"/>
      <c r="AW55" s="493"/>
      <c r="AX55" s="493"/>
      <c r="AY55" s="493"/>
      <c r="AZ55" s="493"/>
      <c r="BA55" s="493"/>
      <c r="BB55" s="493"/>
      <c r="BC55" s="493"/>
      <c r="BD55" s="493"/>
      <c r="BE55" s="493"/>
      <c r="BF55" s="493"/>
      <c r="BG55" s="493"/>
      <c r="BH55" s="493"/>
      <c r="BI55" s="493"/>
      <c r="BJ55" s="493"/>
      <c r="BK55" s="493"/>
      <c r="BL55" s="493"/>
      <c r="BM55" s="493"/>
      <c r="BN55" s="493"/>
      <c r="BO55" s="493"/>
      <c r="BP55" s="493"/>
      <c r="BQ55" s="493"/>
      <c r="BR55" s="493"/>
      <c r="BS55" s="493"/>
      <c r="BT55" s="493"/>
      <c r="BU55" s="493"/>
      <c r="BV55" s="493"/>
      <c r="BW55" s="493"/>
      <c r="BX55" s="493"/>
      <c r="BY55" s="493"/>
      <c r="BZ55" s="493"/>
      <c r="CA55" s="493"/>
      <c r="CB55" s="493"/>
      <c r="CC55" s="493"/>
      <c r="CD55" s="493"/>
      <c r="CE55" s="493"/>
      <c r="CF55" s="493"/>
      <c r="CG55" s="493"/>
      <c r="CH55" s="493"/>
      <c r="CI55" s="493"/>
      <c r="CJ55" s="493"/>
      <c r="CK55" s="493"/>
      <c r="CL55" s="493"/>
      <c r="CM55" s="493"/>
      <c r="CN55" s="493"/>
      <c r="CO55" s="493"/>
      <c r="CP55" s="493"/>
      <c r="CQ55" s="493"/>
      <c r="CR55" s="493"/>
      <c r="CS55" s="493"/>
      <c r="CT55" s="493"/>
      <c r="CU55" s="493"/>
      <c r="CV55" s="493"/>
      <c r="CW55" s="493"/>
      <c r="CX55" s="493"/>
      <c r="CY55" s="493"/>
      <c r="CZ55" s="493"/>
      <c r="DA55" s="493"/>
      <c r="DB55" s="493"/>
      <c r="DC55" s="493"/>
      <c r="DD55" s="493"/>
      <c r="DE55" s="493"/>
      <c r="DF55" s="493"/>
      <c r="DG55" s="493"/>
      <c r="DH55" s="493"/>
      <c r="DI55" s="493"/>
      <c r="DJ55" s="493"/>
      <c r="DK55" s="493"/>
      <c r="DL55" s="493"/>
      <c r="DM55" s="493"/>
      <c r="DN55" s="493"/>
      <c r="DO55" s="493"/>
      <c r="DP55" s="493"/>
      <c r="DQ55" s="493"/>
      <c r="DR55" s="493"/>
      <c r="DS55" s="493"/>
      <c r="DT55" s="493"/>
      <c r="DU55" s="493"/>
      <c r="DV55" s="493"/>
      <c r="DW55" s="493"/>
      <c r="DX55" s="493"/>
      <c r="DY55" s="493"/>
      <c r="DZ55" s="493"/>
      <c r="EA55" s="493"/>
      <c r="EB55" s="493"/>
      <c r="EC55" s="493"/>
      <c r="ED55" s="493"/>
      <c r="EE55" s="493"/>
      <c r="EF55" s="493"/>
      <c r="EG55" s="493"/>
      <c r="EH55" s="493"/>
      <c r="EI55" s="493"/>
      <c r="EJ55" s="493"/>
      <c r="EK55" s="493"/>
      <c r="EL55" s="493"/>
      <c r="EM55" s="493"/>
      <c r="EN55" s="493"/>
      <c r="EO55" s="493"/>
      <c r="EP55" s="493"/>
      <c r="EQ55" s="493"/>
      <c r="ER55" s="493"/>
      <c r="ES55" s="493"/>
      <c r="ET55" s="493"/>
      <c r="EU55" s="493"/>
      <c r="EV55" s="493"/>
      <c r="EW55" s="493"/>
      <c r="EX55" s="493"/>
      <c r="EY55" s="493"/>
      <c r="EZ55" s="493"/>
      <c r="FA55" s="493"/>
      <c r="FB55" s="493"/>
      <c r="FC55" s="493"/>
      <c r="FD55" s="493"/>
      <c r="FE55" s="493"/>
      <c r="FF55" s="493"/>
      <c r="FG55" s="493"/>
      <c r="FH55" s="493"/>
      <c r="FI55" s="493"/>
      <c r="FJ55" s="493"/>
      <c r="FK55" s="493"/>
      <c r="FL55" s="493"/>
      <c r="FM55" s="493"/>
      <c r="FN55" s="493"/>
      <c r="FO55" s="493"/>
      <c r="FP55" s="493"/>
      <c r="FQ55" s="493"/>
      <c r="FR55" s="493"/>
      <c r="FS55" s="493"/>
      <c r="FT55" s="493"/>
      <c r="FU55" s="493"/>
      <c r="FV55" s="493"/>
      <c r="FW55" s="493"/>
      <c r="FX55" s="493"/>
      <c r="FY55" s="493"/>
      <c r="FZ55" s="493"/>
      <c r="GA55" s="493"/>
      <c r="GB55" s="493"/>
      <c r="GC55" s="493"/>
      <c r="GD55" s="493"/>
    </row>
    <row r="56" spans="3:186" ht="15" customHeight="1">
      <c r="C56" s="76"/>
      <c r="E56" s="89"/>
      <c r="F56" s="76"/>
      <c r="G56" s="89"/>
      <c r="I56" s="76"/>
      <c r="J56" s="89"/>
      <c r="K56" s="158"/>
      <c r="L56" s="76"/>
      <c r="M56" s="89"/>
      <c r="O56" s="492"/>
      <c r="P56" s="492"/>
      <c r="Q56" s="492"/>
      <c r="R56" s="492"/>
      <c r="S56" s="492"/>
      <c r="T56" s="492"/>
      <c r="U56" s="492"/>
      <c r="V56" s="492"/>
      <c r="W56" s="492"/>
      <c r="X56" s="492"/>
      <c r="Y56" s="492"/>
      <c r="Z56" s="492"/>
      <c r="AA56" s="492"/>
      <c r="AB56" s="492"/>
      <c r="AC56" s="492"/>
      <c r="AD56" s="492"/>
      <c r="AE56" s="492"/>
      <c r="AF56" s="492"/>
      <c r="AG56" s="492"/>
      <c r="AH56" s="493"/>
      <c r="AI56" s="493"/>
      <c r="AJ56" s="493"/>
      <c r="AK56" s="493"/>
      <c r="AL56" s="493"/>
      <c r="AM56" s="493"/>
      <c r="AN56" s="493"/>
      <c r="AO56" s="493"/>
      <c r="AP56" s="493"/>
      <c r="AQ56" s="493"/>
      <c r="AR56" s="493"/>
      <c r="AS56" s="493"/>
      <c r="AT56" s="493"/>
      <c r="AU56" s="493"/>
      <c r="AV56" s="493"/>
      <c r="AW56" s="493"/>
      <c r="AX56" s="493"/>
      <c r="AY56" s="493"/>
      <c r="AZ56" s="493"/>
      <c r="BA56" s="493"/>
      <c r="BB56" s="493"/>
      <c r="BC56" s="493"/>
      <c r="BD56" s="493"/>
      <c r="BE56" s="493"/>
      <c r="BF56" s="493"/>
      <c r="BG56" s="493"/>
      <c r="BH56" s="493"/>
      <c r="BI56" s="493"/>
      <c r="BJ56" s="493"/>
      <c r="BK56" s="493"/>
      <c r="BL56" s="493"/>
      <c r="BM56" s="493"/>
      <c r="BN56" s="493"/>
      <c r="BO56" s="493"/>
      <c r="BP56" s="493"/>
      <c r="BQ56" s="493"/>
      <c r="BR56" s="493"/>
      <c r="BS56" s="493"/>
      <c r="BT56" s="493"/>
      <c r="BU56" s="493"/>
      <c r="BV56" s="493"/>
      <c r="BW56" s="493"/>
      <c r="BX56" s="493"/>
      <c r="BY56" s="493"/>
      <c r="BZ56" s="493"/>
      <c r="CA56" s="493"/>
      <c r="CB56" s="493"/>
      <c r="CC56" s="493"/>
      <c r="CD56" s="493"/>
      <c r="CE56" s="493"/>
      <c r="CF56" s="493"/>
      <c r="CG56" s="493"/>
      <c r="CH56" s="493"/>
      <c r="CI56" s="493"/>
      <c r="CJ56" s="493"/>
      <c r="CK56" s="493"/>
      <c r="CL56" s="493"/>
      <c r="CM56" s="493"/>
      <c r="CN56" s="493"/>
      <c r="CO56" s="493"/>
      <c r="CP56" s="493"/>
      <c r="CQ56" s="493"/>
      <c r="CR56" s="493"/>
      <c r="CS56" s="493"/>
      <c r="CT56" s="493"/>
      <c r="CU56" s="493"/>
      <c r="CV56" s="493"/>
      <c r="CW56" s="493"/>
      <c r="CX56" s="493"/>
      <c r="CY56" s="493"/>
      <c r="CZ56" s="493"/>
      <c r="DA56" s="493"/>
      <c r="DB56" s="493"/>
      <c r="DC56" s="493"/>
      <c r="DD56" s="493"/>
      <c r="DE56" s="493"/>
      <c r="DF56" s="493"/>
      <c r="DG56" s="493"/>
      <c r="DH56" s="493"/>
      <c r="DI56" s="493"/>
      <c r="DJ56" s="493"/>
      <c r="DK56" s="493"/>
      <c r="DL56" s="493"/>
      <c r="DM56" s="493"/>
      <c r="DN56" s="493"/>
      <c r="DO56" s="493"/>
      <c r="DP56" s="493"/>
      <c r="DQ56" s="493"/>
      <c r="DR56" s="493"/>
      <c r="DS56" s="493"/>
      <c r="DT56" s="493"/>
      <c r="DU56" s="493"/>
      <c r="DV56" s="493"/>
      <c r="DW56" s="493"/>
      <c r="DX56" s="493"/>
      <c r="DY56" s="493"/>
      <c r="DZ56" s="493"/>
      <c r="EA56" s="493"/>
      <c r="EB56" s="493"/>
      <c r="EC56" s="493"/>
      <c r="ED56" s="493"/>
      <c r="EE56" s="493"/>
      <c r="EF56" s="493"/>
      <c r="EG56" s="493"/>
      <c r="EH56" s="493"/>
      <c r="EI56" s="493"/>
      <c r="EJ56" s="493"/>
      <c r="EK56" s="493"/>
      <c r="EL56" s="493"/>
      <c r="EM56" s="493"/>
      <c r="EN56" s="493"/>
      <c r="EO56" s="493"/>
      <c r="EP56" s="493"/>
      <c r="EQ56" s="493"/>
      <c r="ER56" s="493"/>
      <c r="ES56" s="493"/>
      <c r="ET56" s="493"/>
      <c r="EU56" s="493"/>
      <c r="EV56" s="493"/>
      <c r="EW56" s="493"/>
      <c r="EX56" s="493"/>
      <c r="EY56" s="493"/>
      <c r="EZ56" s="493"/>
      <c r="FA56" s="493"/>
      <c r="FB56" s="493"/>
      <c r="FC56" s="493"/>
      <c r="FD56" s="493"/>
      <c r="FE56" s="493"/>
      <c r="FF56" s="493"/>
      <c r="FG56" s="493"/>
      <c r="FH56" s="493"/>
      <c r="FI56" s="493"/>
      <c r="FJ56" s="493"/>
      <c r="FK56" s="493"/>
      <c r="FL56" s="493"/>
      <c r="FM56" s="493"/>
      <c r="FN56" s="493"/>
      <c r="FO56" s="493"/>
      <c r="FP56" s="493"/>
      <c r="FQ56" s="493"/>
      <c r="FR56" s="493"/>
      <c r="FS56" s="493"/>
      <c r="FT56" s="493"/>
      <c r="FU56" s="493"/>
      <c r="FV56" s="493"/>
      <c r="FW56" s="493"/>
      <c r="FX56" s="493"/>
      <c r="FY56" s="493"/>
      <c r="FZ56" s="493"/>
      <c r="GA56" s="493"/>
      <c r="GB56" s="493"/>
      <c r="GC56" s="493"/>
      <c r="GD56" s="493"/>
    </row>
    <row r="57" spans="3:186" ht="15" customHeight="1">
      <c r="C57" s="76"/>
      <c r="E57" s="89"/>
      <c r="F57" s="76"/>
      <c r="G57" s="89"/>
      <c r="I57" s="76"/>
      <c r="J57" s="89"/>
      <c r="K57" s="158"/>
      <c r="L57" s="76"/>
      <c r="M57" s="89"/>
      <c r="O57" s="492"/>
      <c r="P57" s="492"/>
      <c r="Q57" s="492"/>
      <c r="R57" s="492"/>
      <c r="S57" s="492"/>
      <c r="T57" s="492"/>
      <c r="U57" s="492"/>
      <c r="V57" s="492"/>
      <c r="W57" s="492"/>
      <c r="X57" s="492"/>
      <c r="Y57" s="492"/>
      <c r="Z57" s="492"/>
      <c r="AA57" s="492"/>
      <c r="AB57" s="492"/>
      <c r="AC57" s="492"/>
      <c r="AD57" s="492"/>
      <c r="AE57" s="492"/>
      <c r="AF57" s="492"/>
      <c r="AG57" s="492"/>
      <c r="AH57" s="493"/>
      <c r="AI57" s="493"/>
      <c r="AJ57" s="493"/>
      <c r="AK57" s="493"/>
      <c r="AL57" s="493"/>
      <c r="AM57" s="493"/>
      <c r="AN57" s="493"/>
      <c r="AO57" s="493"/>
      <c r="AP57" s="493"/>
      <c r="AQ57" s="493"/>
      <c r="AR57" s="493"/>
      <c r="AS57" s="493"/>
      <c r="AT57" s="493"/>
      <c r="AU57" s="493"/>
      <c r="AV57" s="493"/>
      <c r="AW57" s="493"/>
      <c r="AX57" s="493"/>
      <c r="AY57" s="493"/>
      <c r="AZ57" s="493"/>
      <c r="BA57" s="493"/>
      <c r="BB57" s="493"/>
      <c r="BC57" s="493"/>
      <c r="BD57" s="493"/>
      <c r="BE57" s="493"/>
      <c r="BF57" s="493"/>
      <c r="BG57" s="493"/>
      <c r="BH57" s="493"/>
      <c r="BI57" s="493"/>
      <c r="BJ57" s="493"/>
      <c r="BK57" s="493"/>
      <c r="BL57" s="493"/>
      <c r="BM57" s="493"/>
      <c r="BN57" s="493"/>
      <c r="BO57" s="493"/>
      <c r="BP57" s="493"/>
      <c r="BQ57" s="493"/>
      <c r="BR57" s="493"/>
      <c r="BS57" s="493"/>
      <c r="BT57" s="493"/>
      <c r="BU57" s="493"/>
      <c r="BV57" s="493"/>
      <c r="BW57" s="493"/>
      <c r="BX57" s="493"/>
      <c r="BY57" s="493"/>
      <c r="BZ57" s="493"/>
      <c r="CA57" s="493"/>
      <c r="CB57" s="493"/>
      <c r="CC57" s="493"/>
      <c r="CD57" s="493"/>
      <c r="CE57" s="493"/>
      <c r="CF57" s="493"/>
      <c r="CG57" s="493"/>
      <c r="CH57" s="493"/>
      <c r="CI57" s="493"/>
      <c r="CJ57" s="493"/>
      <c r="CK57" s="493"/>
      <c r="CL57" s="493"/>
      <c r="CM57" s="493"/>
      <c r="CN57" s="493"/>
      <c r="CO57" s="493"/>
      <c r="CP57" s="493"/>
      <c r="CQ57" s="493"/>
      <c r="CR57" s="493"/>
      <c r="CS57" s="493"/>
      <c r="CT57" s="493"/>
      <c r="CU57" s="493"/>
      <c r="CV57" s="493"/>
      <c r="CW57" s="493"/>
      <c r="CX57" s="493"/>
      <c r="CY57" s="493"/>
      <c r="CZ57" s="493"/>
      <c r="DA57" s="493"/>
      <c r="DB57" s="493"/>
      <c r="DC57" s="493"/>
      <c r="DD57" s="493"/>
      <c r="DE57" s="493"/>
      <c r="DF57" s="493"/>
      <c r="DG57" s="493"/>
      <c r="DH57" s="493"/>
      <c r="DI57" s="493"/>
      <c r="DJ57" s="493"/>
      <c r="DK57" s="493"/>
      <c r="DL57" s="493"/>
      <c r="DM57" s="493"/>
      <c r="DN57" s="493"/>
      <c r="DO57" s="493"/>
      <c r="DP57" s="493"/>
      <c r="DQ57" s="493"/>
      <c r="DR57" s="493"/>
      <c r="DS57" s="493"/>
      <c r="DT57" s="493"/>
      <c r="DU57" s="493"/>
      <c r="DV57" s="493"/>
      <c r="DW57" s="493"/>
      <c r="DX57" s="493"/>
      <c r="DY57" s="493"/>
      <c r="DZ57" s="493"/>
      <c r="EA57" s="493"/>
      <c r="EB57" s="493"/>
      <c r="EC57" s="493"/>
      <c r="ED57" s="493"/>
      <c r="EE57" s="493"/>
      <c r="EF57" s="493"/>
      <c r="EG57" s="493"/>
      <c r="EH57" s="493"/>
      <c r="EI57" s="493"/>
      <c r="EJ57" s="493"/>
      <c r="EK57" s="493"/>
      <c r="EL57" s="493"/>
      <c r="EM57" s="493"/>
      <c r="EN57" s="493"/>
      <c r="EO57" s="493"/>
      <c r="EP57" s="493"/>
      <c r="EQ57" s="493"/>
      <c r="ER57" s="493"/>
      <c r="ES57" s="493"/>
      <c r="ET57" s="493"/>
      <c r="EU57" s="493"/>
      <c r="EV57" s="493"/>
      <c r="EW57" s="493"/>
      <c r="EX57" s="493"/>
      <c r="EY57" s="493"/>
      <c r="EZ57" s="493"/>
      <c r="FA57" s="493"/>
      <c r="FB57" s="493"/>
      <c r="FC57" s="493"/>
      <c r="FD57" s="493"/>
      <c r="FE57" s="493"/>
      <c r="FF57" s="493"/>
      <c r="FG57" s="493"/>
      <c r="FH57" s="493"/>
      <c r="FI57" s="493"/>
      <c r="FJ57" s="493"/>
      <c r="FK57" s="493"/>
      <c r="FL57" s="493"/>
      <c r="FM57" s="493"/>
      <c r="FN57" s="493"/>
      <c r="FO57" s="493"/>
      <c r="FP57" s="493"/>
      <c r="FQ57" s="493"/>
      <c r="FR57" s="493"/>
      <c r="FS57" s="493"/>
      <c r="FT57" s="493"/>
      <c r="FU57" s="493"/>
      <c r="FV57" s="493"/>
      <c r="FW57" s="493"/>
      <c r="FX57" s="493"/>
      <c r="FY57" s="493"/>
      <c r="FZ57" s="493"/>
      <c r="GA57" s="493"/>
      <c r="GB57" s="493"/>
      <c r="GC57" s="493"/>
      <c r="GD57" s="493"/>
    </row>
    <row r="58" spans="3:186" ht="15" customHeight="1">
      <c r="C58" s="76"/>
      <c r="E58" s="89"/>
      <c r="F58" s="76"/>
      <c r="G58" s="89"/>
      <c r="I58" s="76"/>
      <c r="J58" s="89"/>
      <c r="K58" s="158"/>
      <c r="L58" s="76"/>
      <c r="M58" s="89"/>
      <c r="O58" s="492"/>
      <c r="P58" s="492"/>
      <c r="Q58" s="492"/>
      <c r="R58" s="492"/>
      <c r="S58" s="492"/>
      <c r="T58" s="492"/>
      <c r="U58" s="492"/>
      <c r="V58" s="492"/>
      <c r="W58" s="492"/>
      <c r="X58" s="492"/>
      <c r="Y58" s="492"/>
      <c r="Z58" s="492"/>
      <c r="AA58" s="492"/>
      <c r="AB58" s="492"/>
      <c r="AC58" s="492"/>
      <c r="AD58" s="492"/>
      <c r="AE58" s="492"/>
      <c r="AF58" s="492"/>
      <c r="AG58" s="492"/>
      <c r="AH58" s="493"/>
      <c r="AI58" s="493"/>
      <c r="AJ58" s="493"/>
      <c r="AK58" s="493"/>
      <c r="AL58" s="493"/>
      <c r="AM58" s="493"/>
      <c r="AN58" s="493"/>
      <c r="AO58" s="493"/>
      <c r="AP58" s="493"/>
      <c r="AQ58" s="493"/>
      <c r="AR58" s="493"/>
      <c r="AS58" s="493"/>
      <c r="AT58" s="493"/>
      <c r="AU58" s="493"/>
      <c r="AV58" s="493"/>
      <c r="AW58" s="493"/>
      <c r="AX58" s="493"/>
      <c r="AY58" s="493"/>
      <c r="AZ58" s="493"/>
      <c r="BA58" s="493"/>
      <c r="BB58" s="493"/>
      <c r="BC58" s="493"/>
      <c r="BD58" s="493"/>
      <c r="BE58" s="493"/>
      <c r="BF58" s="493"/>
      <c r="BG58" s="493"/>
      <c r="BH58" s="493"/>
      <c r="BI58" s="493"/>
      <c r="BJ58" s="493"/>
      <c r="BK58" s="493"/>
      <c r="BL58" s="493"/>
      <c r="BM58" s="493"/>
      <c r="BN58" s="493"/>
      <c r="BO58" s="493"/>
      <c r="BP58" s="493"/>
      <c r="BQ58" s="493"/>
      <c r="BR58" s="493"/>
      <c r="BS58" s="493"/>
      <c r="BT58" s="493"/>
      <c r="BU58" s="493"/>
      <c r="BV58" s="493"/>
      <c r="BW58" s="493"/>
      <c r="BX58" s="493"/>
      <c r="BY58" s="493"/>
      <c r="BZ58" s="493"/>
      <c r="CA58" s="493"/>
      <c r="CB58" s="493"/>
      <c r="CC58" s="493"/>
      <c r="CD58" s="493"/>
      <c r="CE58" s="493"/>
      <c r="CF58" s="493"/>
      <c r="CG58" s="493"/>
      <c r="CH58" s="493"/>
      <c r="CI58" s="493"/>
      <c r="CJ58" s="493"/>
      <c r="CK58" s="493"/>
      <c r="CL58" s="493"/>
      <c r="CM58" s="493"/>
      <c r="CN58" s="493"/>
      <c r="CO58" s="493"/>
      <c r="CP58" s="493"/>
      <c r="CQ58" s="493"/>
      <c r="CR58" s="493"/>
      <c r="CS58" s="493"/>
      <c r="CT58" s="493"/>
      <c r="CU58" s="493"/>
      <c r="CV58" s="493"/>
      <c r="CW58" s="493"/>
      <c r="CX58" s="493"/>
      <c r="CY58" s="493"/>
      <c r="CZ58" s="493"/>
      <c r="DA58" s="493"/>
      <c r="DB58" s="493"/>
      <c r="DC58" s="493"/>
      <c r="DD58" s="493"/>
      <c r="DE58" s="493"/>
      <c r="DF58" s="493"/>
      <c r="DG58" s="493"/>
      <c r="DH58" s="493"/>
      <c r="DI58" s="493"/>
      <c r="DJ58" s="493"/>
      <c r="DK58" s="493"/>
      <c r="DL58" s="493"/>
      <c r="DM58" s="493"/>
      <c r="DN58" s="493"/>
      <c r="DO58" s="493"/>
      <c r="DP58" s="493"/>
      <c r="DQ58" s="493"/>
      <c r="DR58" s="493"/>
      <c r="DS58" s="493"/>
      <c r="DT58" s="493"/>
      <c r="DU58" s="493"/>
      <c r="DV58" s="493"/>
      <c r="DW58" s="493"/>
      <c r="DX58" s="493"/>
      <c r="DY58" s="493"/>
      <c r="DZ58" s="493"/>
      <c r="EA58" s="493"/>
      <c r="EB58" s="493"/>
      <c r="EC58" s="493"/>
      <c r="ED58" s="493"/>
      <c r="EE58" s="493"/>
      <c r="EF58" s="493"/>
      <c r="EG58" s="493"/>
      <c r="EH58" s="493"/>
      <c r="EI58" s="493"/>
      <c r="EJ58" s="493"/>
      <c r="EK58" s="493"/>
      <c r="EL58" s="493"/>
      <c r="EM58" s="493"/>
      <c r="EN58" s="493"/>
      <c r="EO58" s="493"/>
      <c r="EP58" s="493"/>
      <c r="EQ58" s="493"/>
      <c r="ER58" s="493"/>
      <c r="ES58" s="493"/>
      <c r="ET58" s="493"/>
      <c r="EU58" s="493"/>
      <c r="EV58" s="493"/>
      <c r="EW58" s="493"/>
      <c r="EX58" s="493"/>
      <c r="EY58" s="493"/>
      <c r="EZ58" s="493"/>
      <c r="FA58" s="493"/>
      <c r="FB58" s="493"/>
      <c r="FC58" s="493"/>
      <c r="FD58" s="493"/>
      <c r="FE58" s="493"/>
      <c r="FF58" s="493"/>
      <c r="FG58" s="493"/>
      <c r="FH58" s="493"/>
      <c r="FI58" s="493"/>
      <c r="FJ58" s="493"/>
      <c r="FK58" s="493"/>
      <c r="FL58" s="493"/>
      <c r="FM58" s="493"/>
      <c r="FN58" s="493"/>
      <c r="FO58" s="493"/>
      <c r="FP58" s="493"/>
      <c r="FQ58" s="493"/>
      <c r="FR58" s="493"/>
      <c r="FS58" s="493"/>
      <c r="FT58" s="493"/>
      <c r="FU58" s="493"/>
      <c r="FV58" s="493"/>
      <c r="FW58" s="493"/>
      <c r="FX58" s="493"/>
      <c r="FY58" s="493"/>
      <c r="FZ58" s="493"/>
      <c r="GA58" s="493"/>
      <c r="GB58" s="493"/>
      <c r="GC58" s="493"/>
      <c r="GD58" s="493"/>
    </row>
    <row r="59" spans="3:186" ht="15" customHeight="1">
      <c r="C59" s="76"/>
      <c r="E59" s="89"/>
      <c r="F59" s="76"/>
      <c r="G59" s="89"/>
      <c r="I59" s="76"/>
      <c r="J59" s="89"/>
      <c r="K59" s="158"/>
      <c r="L59" s="76"/>
      <c r="M59" s="89"/>
      <c r="O59" s="492"/>
      <c r="P59" s="492"/>
      <c r="Q59" s="492"/>
      <c r="R59" s="492"/>
      <c r="S59" s="492"/>
      <c r="T59" s="492"/>
      <c r="U59" s="492"/>
      <c r="V59" s="492"/>
      <c r="W59" s="492"/>
      <c r="X59" s="492"/>
      <c r="Y59" s="492"/>
      <c r="Z59" s="492"/>
      <c r="AA59" s="492"/>
      <c r="AB59" s="492"/>
      <c r="AC59" s="492"/>
      <c r="AD59" s="492"/>
      <c r="AE59" s="492"/>
      <c r="AF59" s="492"/>
      <c r="AG59" s="492"/>
      <c r="AH59" s="493"/>
      <c r="AI59" s="493"/>
      <c r="AJ59" s="493"/>
      <c r="AK59" s="493"/>
      <c r="AL59" s="493"/>
      <c r="AM59" s="493"/>
      <c r="AN59" s="493"/>
      <c r="AO59" s="493"/>
      <c r="AP59" s="493"/>
      <c r="AQ59" s="493"/>
      <c r="AR59" s="493"/>
      <c r="AS59" s="493"/>
      <c r="AT59" s="493"/>
      <c r="AU59" s="493"/>
      <c r="AV59" s="493"/>
      <c r="AW59" s="493"/>
      <c r="AX59" s="493"/>
      <c r="AY59" s="493"/>
      <c r="AZ59" s="493"/>
      <c r="BA59" s="493"/>
      <c r="BB59" s="493"/>
      <c r="BC59" s="493"/>
      <c r="BD59" s="493"/>
      <c r="BE59" s="493"/>
      <c r="BF59" s="493"/>
      <c r="BG59" s="493"/>
      <c r="BH59" s="493"/>
      <c r="BI59" s="493"/>
      <c r="BJ59" s="493"/>
      <c r="BK59" s="493"/>
      <c r="BL59" s="493"/>
      <c r="BM59" s="493"/>
      <c r="BN59" s="493"/>
      <c r="BO59" s="493"/>
      <c r="BP59" s="493"/>
      <c r="BQ59" s="493"/>
      <c r="BR59" s="493"/>
      <c r="BS59" s="493"/>
      <c r="BT59" s="493"/>
      <c r="BU59" s="493"/>
      <c r="BV59" s="493"/>
      <c r="BW59" s="493"/>
      <c r="BX59" s="493"/>
      <c r="BY59" s="493"/>
      <c r="BZ59" s="493"/>
      <c r="CA59" s="493"/>
      <c r="CB59" s="493"/>
      <c r="CC59" s="493"/>
      <c r="CD59" s="493"/>
      <c r="CE59" s="493"/>
      <c r="CF59" s="493"/>
      <c r="CG59" s="493"/>
      <c r="CH59" s="493"/>
      <c r="CI59" s="493"/>
      <c r="CJ59" s="493"/>
      <c r="CK59" s="493"/>
      <c r="CL59" s="493"/>
      <c r="CM59" s="493"/>
      <c r="CN59" s="493"/>
      <c r="CO59" s="493"/>
      <c r="CP59" s="493"/>
      <c r="CQ59" s="493"/>
      <c r="CR59" s="493"/>
      <c r="CS59" s="493"/>
      <c r="CT59" s="493"/>
      <c r="CU59" s="493"/>
      <c r="CV59" s="493"/>
      <c r="CW59" s="493"/>
      <c r="CX59" s="493"/>
      <c r="CY59" s="493"/>
      <c r="CZ59" s="493"/>
      <c r="DA59" s="493"/>
      <c r="DB59" s="493"/>
      <c r="DC59" s="493"/>
      <c r="DD59" s="493"/>
      <c r="DE59" s="493"/>
      <c r="DF59" s="493"/>
      <c r="DG59" s="493"/>
      <c r="DH59" s="493"/>
      <c r="DI59" s="493"/>
      <c r="DJ59" s="493"/>
      <c r="DK59" s="493"/>
      <c r="DL59" s="493"/>
      <c r="DM59" s="493"/>
      <c r="DN59" s="493"/>
      <c r="DO59" s="493"/>
      <c r="DP59" s="493"/>
      <c r="DQ59" s="493"/>
      <c r="DR59" s="493"/>
      <c r="DS59" s="493"/>
      <c r="DT59" s="493"/>
      <c r="DU59" s="493"/>
      <c r="DV59" s="493"/>
      <c r="DW59" s="493"/>
      <c r="DX59" s="493"/>
      <c r="DY59" s="493"/>
      <c r="DZ59" s="493"/>
      <c r="EA59" s="493"/>
      <c r="EB59" s="493"/>
      <c r="EC59" s="493"/>
      <c r="ED59" s="493"/>
      <c r="EE59" s="493"/>
      <c r="EF59" s="493"/>
      <c r="EG59" s="493"/>
      <c r="EH59" s="493"/>
      <c r="EI59" s="493"/>
      <c r="EJ59" s="493"/>
      <c r="EK59" s="493"/>
      <c r="EL59" s="493"/>
      <c r="EM59" s="493"/>
      <c r="EN59" s="493"/>
      <c r="EO59" s="493"/>
      <c r="EP59" s="493"/>
      <c r="EQ59" s="493"/>
      <c r="ER59" s="493"/>
      <c r="ES59" s="493"/>
      <c r="ET59" s="493"/>
      <c r="EU59" s="493"/>
      <c r="EV59" s="493"/>
      <c r="EW59" s="493"/>
      <c r="EX59" s="493"/>
      <c r="EY59" s="493"/>
      <c r="EZ59" s="493"/>
      <c r="FA59" s="493"/>
      <c r="FB59" s="493"/>
      <c r="FC59" s="493"/>
      <c r="FD59" s="493"/>
      <c r="FE59" s="493"/>
      <c r="FF59" s="493"/>
      <c r="FG59" s="493"/>
      <c r="FH59" s="493"/>
      <c r="FI59" s="493"/>
      <c r="FJ59" s="493"/>
      <c r="FK59" s="493"/>
      <c r="FL59" s="493"/>
      <c r="FM59" s="493"/>
      <c r="FN59" s="493"/>
      <c r="FO59" s="493"/>
      <c r="FP59" s="493"/>
      <c r="FQ59" s="493"/>
      <c r="FR59" s="493"/>
      <c r="FS59" s="493"/>
      <c r="FT59" s="493"/>
      <c r="FU59" s="493"/>
      <c r="FV59" s="493"/>
      <c r="FW59" s="493"/>
      <c r="FX59" s="493"/>
      <c r="FY59" s="493"/>
      <c r="FZ59" s="493"/>
      <c r="GA59" s="493"/>
      <c r="GB59" s="493"/>
      <c r="GC59" s="493"/>
      <c r="GD59" s="493"/>
    </row>
    <row r="60" spans="3:186" ht="15" customHeight="1">
      <c r="C60" s="76"/>
      <c r="E60" s="89"/>
      <c r="F60" s="76"/>
      <c r="G60" s="89"/>
      <c r="I60" s="76"/>
      <c r="J60" s="89"/>
      <c r="K60" s="158"/>
      <c r="L60" s="76"/>
      <c r="M60" s="89"/>
      <c r="O60" s="492"/>
      <c r="P60" s="492"/>
      <c r="Q60" s="492"/>
      <c r="R60" s="492"/>
      <c r="S60" s="492"/>
      <c r="T60" s="492"/>
      <c r="U60" s="492"/>
      <c r="V60" s="492"/>
      <c r="W60" s="492"/>
      <c r="X60" s="492"/>
      <c r="Y60" s="492"/>
      <c r="Z60" s="492"/>
      <c r="AA60" s="492"/>
      <c r="AB60" s="492"/>
      <c r="AC60" s="492"/>
      <c r="AD60" s="492"/>
      <c r="AE60" s="492"/>
      <c r="AF60" s="492"/>
      <c r="AG60" s="492"/>
      <c r="AH60" s="493"/>
      <c r="AI60" s="493"/>
      <c r="AJ60" s="493"/>
      <c r="AK60" s="493"/>
      <c r="AL60" s="493"/>
      <c r="AM60" s="493"/>
      <c r="AN60" s="493"/>
      <c r="AO60" s="493"/>
      <c r="AP60" s="493"/>
      <c r="AQ60" s="493"/>
      <c r="AR60" s="493"/>
      <c r="AS60" s="493"/>
      <c r="AT60" s="493"/>
      <c r="AU60" s="493"/>
      <c r="AV60" s="493"/>
      <c r="AW60" s="493"/>
      <c r="AX60" s="493"/>
      <c r="AY60" s="493"/>
      <c r="AZ60" s="493"/>
      <c r="BA60" s="493"/>
      <c r="BB60" s="493"/>
      <c r="BC60" s="493"/>
      <c r="BD60" s="493"/>
      <c r="BE60" s="493"/>
      <c r="BF60" s="493"/>
      <c r="BG60" s="493"/>
      <c r="BH60" s="493"/>
      <c r="BI60" s="493"/>
      <c r="BJ60" s="493"/>
      <c r="BK60" s="493"/>
      <c r="BL60" s="493"/>
      <c r="BM60" s="493"/>
      <c r="BN60" s="493"/>
      <c r="BO60" s="493"/>
      <c r="BP60" s="493"/>
      <c r="BQ60" s="493"/>
      <c r="BR60" s="493"/>
      <c r="BS60" s="493"/>
      <c r="BT60" s="493"/>
      <c r="BU60" s="493"/>
      <c r="BV60" s="493"/>
      <c r="BW60" s="493"/>
      <c r="BX60" s="493"/>
      <c r="BY60" s="493"/>
      <c r="BZ60" s="493"/>
      <c r="CA60" s="493"/>
      <c r="CB60" s="493"/>
      <c r="CC60" s="493"/>
      <c r="CD60" s="493"/>
      <c r="CE60" s="493"/>
      <c r="CF60" s="493"/>
      <c r="CG60" s="493"/>
      <c r="CH60" s="493"/>
      <c r="CI60" s="493"/>
      <c r="CJ60" s="493"/>
      <c r="CK60" s="493"/>
      <c r="CL60" s="493"/>
      <c r="CM60" s="493"/>
      <c r="CN60" s="493"/>
      <c r="CO60" s="493"/>
      <c r="CP60" s="493"/>
      <c r="CQ60" s="493"/>
      <c r="CR60" s="493"/>
      <c r="CS60" s="493"/>
      <c r="CT60" s="493"/>
      <c r="CU60" s="493"/>
      <c r="CV60" s="493"/>
      <c r="CW60" s="493"/>
      <c r="CX60" s="493"/>
      <c r="CY60" s="493"/>
      <c r="CZ60" s="493"/>
      <c r="DA60" s="493"/>
      <c r="DB60" s="493"/>
      <c r="DC60" s="493"/>
      <c r="DD60" s="493"/>
      <c r="DE60" s="493"/>
      <c r="DF60" s="493"/>
      <c r="DG60" s="493"/>
      <c r="DH60" s="493"/>
      <c r="DI60" s="493"/>
      <c r="DJ60" s="493"/>
      <c r="DK60" s="493"/>
      <c r="DL60" s="493"/>
      <c r="DM60" s="493"/>
      <c r="DN60" s="493"/>
      <c r="DO60" s="493"/>
      <c r="DP60" s="493"/>
      <c r="DQ60" s="493"/>
      <c r="DR60" s="493"/>
      <c r="DS60" s="493"/>
      <c r="DT60" s="493"/>
      <c r="DU60" s="493"/>
      <c r="DV60" s="493"/>
      <c r="DW60" s="493"/>
      <c r="DX60" s="493"/>
      <c r="DY60" s="493"/>
      <c r="DZ60" s="493"/>
      <c r="EA60" s="493"/>
      <c r="EB60" s="493"/>
      <c r="EC60" s="493"/>
      <c r="ED60" s="493"/>
      <c r="EE60" s="493"/>
      <c r="EF60" s="493"/>
      <c r="EG60" s="493"/>
      <c r="EH60" s="493"/>
      <c r="EI60" s="493"/>
      <c r="EJ60" s="493"/>
      <c r="EK60" s="493"/>
      <c r="EL60" s="493"/>
      <c r="EM60" s="493"/>
      <c r="EN60" s="493"/>
      <c r="EO60" s="493"/>
      <c r="EP60" s="493"/>
      <c r="EQ60" s="493"/>
      <c r="ER60" s="493"/>
      <c r="ES60" s="493"/>
      <c r="ET60" s="493"/>
      <c r="EU60" s="493"/>
      <c r="EV60" s="493"/>
      <c r="EW60" s="493"/>
      <c r="EX60" s="493"/>
      <c r="EY60" s="493"/>
      <c r="EZ60" s="493"/>
      <c r="FA60" s="493"/>
      <c r="FB60" s="493"/>
      <c r="FC60" s="493"/>
      <c r="FD60" s="493"/>
      <c r="FE60" s="493"/>
      <c r="FF60" s="493"/>
      <c r="FG60" s="493"/>
      <c r="FH60" s="493"/>
      <c r="FI60" s="493"/>
      <c r="FJ60" s="493"/>
      <c r="FK60" s="493"/>
      <c r="FL60" s="493"/>
      <c r="FM60" s="493"/>
      <c r="FN60" s="493"/>
      <c r="FO60" s="493"/>
      <c r="FP60" s="493"/>
      <c r="FQ60" s="493"/>
      <c r="FR60" s="493"/>
      <c r="FS60" s="493"/>
      <c r="FT60" s="493"/>
      <c r="FU60" s="493"/>
      <c r="FV60" s="493"/>
      <c r="FW60" s="493"/>
      <c r="FX60" s="493"/>
      <c r="FY60" s="493"/>
      <c r="FZ60" s="493"/>
      <c r="GA60" s="493"/>
      <c r="GB60" s="493"/>
      <c r="GC60" s="493"/>
      <c r="GD60" s="493"/>
    </row>
    <row r="61" spans="3:186" ht="15" customHeight="1">
      <c r="C61" s="76"/>
      <c r="E61" s="89"/>
      <c r="F61" s="76"/>
      <c r="G61" s="89"/>
      <c r="I61" s="76"/>
      <c r="J61" s="89"/>
      <c r="K61" s="158"/>
      <c r="L61" s="76"/>
      <c r="M61" s="89"/>
      <c r="O61" s="492"/>
      <c r="P61" s="492"/>
      <c r="Q61" s="492"/>
      <c r="R61" s="492"/>
      <c r="S61" s="492"/>
      <c r="T61" s="492"/>
      <c r="U61" s="492"/>
      <c r="V61" s="492"/>
      <c r="W61" s="492"/>
      <c r="X61" s="492"/>
      <c r="Y61" s="492"/>
      <c r="Z61" s="492"/>
      <c r="AA61" s="492"/>
      <c r="AB61" s="492"/>
      <c r="AC61" s="492"/>
      <c r="AD61" s="492"/>
      <c r="AE61" s="492"/>
      <c r="AF61" s="492"/>
      <c r="AG61" s="492"/>
      <c r="AH61" s="493"/>
      <c r="AI61" s="493"/>
      <c r="AJ61" s="493"/>
      <c r="AK61" s="493"/>
      <c r="AL61" s="493"/>
      <c r="AM61" s="493"/>
      <c r="AN61" s="493"/>
      <c r="AO61" s="493"/>
      <c r="AP61" s="493"/>
      <c r="AQ61" s="493"/>
      <c r="AR61" s="493"/>
      <c r="AS61" s="493"/>
      <c r="AT61" s="493"/>
      <c r="AU61" s="493"/>
      <c r="AV61" s="493"/>
      <c r="AW61" s="493"/>
      <c r="AX61" s="493"/>
      <c r="AY61" s="493"/>
      <c r="AZ61" s="493"/>
      <c r="BA61" s="493"/>
      <c r="BB61" s="493"/>
      <c r="BC61" s="493"/>
      <c r="BD61" s="493"/>
      <c r="BE61" s="493"/>
      <c r="BF61" s="493"/>
      <c r="BG61" s="493"/>
      <c r="BH61" s="493"/>
      <c r="BI61" s="493"/>
      <c r="BJ61" s="493"/>
      <c r="BK61" s="493"/>
      <c r="BL61" s="493"/>
      <c r="BM61" s="493"/>
      <c r="BN61" s="493"/>
      <c r="BO61" s="493"/>
      <c r="BP61" s="493"/>
      <c r="BQ61" s="493"/>
      <c r="BR61" s="493"/>
      <c r="BS61" s="493"/>
      <c r="BT61" s="493"/>
      <c r="BU61" s="493"/>
      <c r="BV61" s="493"/>
      <c r="BW61" s="493"/>
      <c r="BX61" s="493"/>
      <c r="BY61" s="493"/>
      <c r="BZ61" s="493"/>
      <c r="CA61" s="493"/>
      <c r="CB61" s="493"/>
      <c r="CC61" s="493"/>
      <c r="CD61" s="493"/>
      <c r="CE61" s="493"/>
      <c r="CF61" s="493"/>
      <c r="CG61" s="493"/>
      <c r="CH61" s="493"/>
      <c r="CI61" s="493"/>
      <c r="CJ61" s="493"/>
      <c r="CK61" s="493"/>
      <c r="CL61" s="493"/>
      <c r="CM61" s="493"/>
      <c r="CN61" s="493"/>
      <c r="CO61" s="493"/>
      <c r="CP61" s="493"/>
      <c r="CQ61" s="493"/>
      <c r="CR61" s="493"/>
      <c r="CS61" s="493"/>
      <c r="CT61" s="493"/>
      <c r="CU61" s="493"/>
      <c r="CV61" s="493"/>
      <c r="CW61" s="493"/>
      <c r="CX61" s="493"/>
      <c r="CY61" s="493"/>
      <c r="CZ61" s="493"/>
      <c r="DA61" s="493"/>
      <c r="DB61" s="493"/>
      <c r="DC61" s="493"/>
      <c r="DD61" s="493"/>
      <c r="DE61" s="493"/>
      <c r="DF61" s="493"/>
      <c r="DG61" s="493"/>
      <c r="DH61" s="493"/>
      <c r="DI61" s="493"/>
      <c r="DJ61" s="493"/>
      <c r="DK61" s="493"/>
      <c r="DL61" s="493"/>
      <c r="DM61" s="493"/>
      <c r="DN61" s="493"/>
      <c r="DO61" s="493"/>
      <c r="DP61" s="493"/>
      <c r="DQ61" s="493"/>
      <c r="DR61" s="493"/>
      <c r="DS61" s="493"/>
      <c r="DT61" s="493"/>
      <c r="DU61" s="493"/>
      <c r="DV61" s="493"/>
      <c r="DW61" s="493"/>
      <c r="DX61" s="493"/>
      <c r="DY61" s="493"/>
      <c r="DZ61" s="493"/>
      <c r="EA61" s="493"/>
      <c r="EB61" s="493"/>
      <c r="EC61" s="493"/>
      <c r="ED61" s="493"/>
      <c r="EE61" s="493"/>
      <c r="EF61" s="493"/>
      <c r="EG61" s="493"/>
      <c r="EH61" s="493"/>
      <c r="EI61" s="493"/>
      <c r="EJ61" s="493"/>
      <c r="EK61" s="493"/>
      <c r="EL61" s="493"/>
      <c r="EM61" s="493"/>
      <c r="EN61" s="493"/>
      <c r="EO61" s="493"/>
      <c r="EP61" s="493"/>
      <c r="EQ61" s="493"/>
      <c r="ER61" s="493"/>
      <c r="ES61" s="493"/>
      <c r="ET61" s="493"/>
      <c r="EU61" s="493"/>
      <c r="EV61" s="493"/>
      <c r="EW61" s="493"/>
      <c r="EX61" s="493"/>
      <c r="EY61" s="493"/>
      <c r="EZ61" s="493"/>
      <c r="FA61" s="493"/>
      <c r="FB61" s="493"/>
      <c r="FC61" s="493"/>
      <c r="FD61" s="493"/>
      <c r="FE61" s="493"/>
      <c r="FF61" s="493"/>
      <c r="FG61" s="493"/>
      <c r="FH61" s="493"/>
      <c r="FI61" s="493"/>
      <c r="FJ61" s="493"/>
      <c r="FK61" s="493"/>
      <c r="FL61" s="493"/>
      <c r="FM61" s="493"/>
      <c r="FN61" s="493"/>
      <c r="FO61" s="493"/>
      <c r="FP61" s="493"/>
      <c r="FQ61" s="493"/>
      <c r="FR61" s="493"/>
      <c r="FS61" s="493"/>
      <c r="FT61" s="493"/>
      <c r="FU61" s="493"/>
      <c r="FV61" s="493"/>
      <c r="FW61" s="493"/>
      <c r="FX61" s="493"/>
      <c r="FY61" s="493"/>
      <c r="FZ61" s="493"/>
      <c r="GA61" s="493"/>
      <c r="GB61" s="493"/>
      <c r="GC61" s="493"/>
      <c r="GD61" s="493"/>
    </row>
    <row r="62" spans="3:186" ht="15" customHeight="1">
      <c r="C62" s="76"/>
      <c r="E62" s="89"/>
      <c r="F62" s="76"/>
      <c r="G62" s="89"/>
      <c r="I62" s="76"/>
      <c r="J62" s="89"/>
      <c r="K62" s="158"/>
      <c r="L62" s="76"/>
      <c r="M62" s="89"/>
      <c r="O62" s="492"/>
      <c r="P62" s="492"/>
      <c r="Q62" s="492"/>
      <c r="R62" s="492"/>
      <c r="S62" s="492"/>
      <c r="T62" s="492"/>
      <c r="U62" s="492"/>
      <c r="V62" s="492"/>
      <c r="W62" s="492"/>
      <c r="X62" s="492"/>
      <c r="Y62" s="492"/>
      <c r="Z62" s="492"/>
      <c r="AA62" s="492"/>
      <c r="AB62" s="492"/>
      <c r="AC62" s="492"/>
      <c r="AD62" s="492"/>
      <c r="AE62" s="492"/>
      <c r="AF62" s="492"/>
      <c r="AG62" s="492"/>
      <c r="AH62" s="493"/>
      <c r="AI62" s="493"/>
      <c r="AJ62" s="493"/>
      <c r="AK62" s="493"/>
      <c r="AL62" s="493"/>
      <c r="AM62" s="493"/>
      <c r="AN62" s="493"/>
      <c r="AO62" s="493"/>
      <c r="AP62" s="493"/>
      <c r="AQ62" s="493"/>
      <c r="AR62" s="493"/>
      <c r="AS62" s="493"/>
      <c r="AT62" s="493"/>
      <c r="AU62" s="493"/>
      <c r="AV62" s="493"/>
      <c r="AW62" s="493"/>
      <c r="AX62" s="493"/>
      <c r="AY62" s="493"/>
      <c r="AZ62" s="493"/>
      <c r="BA62" s="493"/>
      <c r="BB62" s="493"/>
      <c r="BC62" s="493"/>
      <c r="BD62" s="493"/>
      <c r="BE62" s="493"/>
      <c r="BF62" s="493"/>
      <c r="BG62" s="493"/>
      <c r="BH62" s="493"/>
      <c r="BI62" s="493"/>
      <c r="BJ62" s="493"/>
      <c r="BK62" s="493"/>
      <c r="BL62" s="493"/>
      <c r="BM62" s="493"/>
      <c r="BN62" s="493"/>
      <c r="BO62" s="493"/>
      <c r="BP62" s="493"/>
      <c r="BQ62" s="493"/>
      <c r="BR62" s="493"/>
      <c r="BS62" s="493"/>
      <c r="BT62" s="493"/>
      <c r="BU62" s="493"/>
      <c r="BV62" s="493"/>
      <c r="BW62" s="493"/>
      <c r="BX62" s="493"/>
      <c r="BY62" s="493"/>
      <c r="BZ62" s="493"/>
      <c r="CA62" s="493"/>
      <c r="CB62" s="493"/>
      <c r="CC62" s="493"/>
      <c r="CD62" s="493"/>
      <c r="CE62" s="493"/>
      <c r="CF62" s="493"/>
      <c r="CG62" s="493"/>
      <c r="CH62" s="493"/>
      <c r="CI62" s="493"/>
      <c r="CJ62" s="493"/>
      <c r="CK62" s="493"/>
      <c r="CL62" s="493"/>
      <c r="CM62" s="493"/>
      <c r="CN62" s="493"/>
      <c r="CO62" s="493"/>
      <c r="CP62" s="493"/>
      <c r="CQ62" s="493"/>
      <c r="CR62" s="493"/>
      <c r="CS62" s="493"/>
      <c r="CT62" s="493"/>
      <c r="CU62" s="493"/>
      <c r="CV62" s="493"/>
      <c r="CW62" s="493"/>
      <c r="CX62" s="493"/>
      <c r="CY62" s="493"/>
      <c r="CZ62" s="493"/>
      <c r="DA62" s="493"/>
      <c r="DB62" s="493"/>
      <c r="DC62" s="493"/>
      <c r="DD62" s="493"/>
      <c r="DE62" s="493"/>
      <c r="DF62" s="493"/>
      <c r="DG62" s="493"/>
      <c r="DH62" s="493"/>
      <c r="DI62" s="493"/>
      <c r="DJ62" s="493"/>
      <c r="DK62" s="493"/>
      <c r="DL62" s="493"/>
      <c r="DM62" s="493"/>
      <c r="DN62" s="493"/>
      <c r="DO62" s="493"/>
      <c r="DP62" s="493"/>
      <c r="DQ62" s="493"/>
      <c r="DR62" s="493"/>
      <c r="DS62" s="493"/>
      <c r="DT62" s="493"/>
      <c r="DU62" s="493"/>
      <c r="DV62" s="493"/>
      <c r="DW62" s="493"/>
      <c r="DX62" s="493"/>
      <c r="DY62" s="493"/>
      <c r="DZ62" s="493"/>
      <c r="EA62" s="493"/>
      <c r="EB62" s="493"/>
      <c r="EC62" s="493"/>
      <c r="ED62" s="493"/>
      <c r="EE62" s="493"/>
      <c r="EF62" s="493"/>
      <c r="EG62" s="493"/>
      <c r="EH62" s="493"/>
      <c r="EI62" s="493"/>
      <c r="EJ62" s="493"/>
      <c r="EK62" s="493"/>
      <c r="EL62" s="493"/>
      <c r="EM62" s="493"/>
      <c r="EN62" s="493"/>
      <c r="EO62" s="493"/>
      <c r="EP62" s="493"/>
      <c r="EQ62" s="493"/>
      <c r="ER62" s="493"/>
      <c r="ES62" s="493"/>
      <c r="ET62" s="493"/>
      <c r="EU62" s="493"/>
      <c r="EV62" s="493"/>
      <c r="EW62" s="493"/>
      <c r="EX62" s="493"/>
      <c r="EY62" s="493"/>
      <c r="EZ62" s="493"/>
      <c r="FA62" s="493"/>
      <c r="FB62" s="493"/>
      <c r="FC62" s="493"/>
      <c r="FD62" s="493"/>
      <c r="FE62" s="493"/>
      <c r="FF62" s="493"/>
      <c r="FG62" s="493"/>
      <c r="FH62" s="493"/>
      <c r="FI62" s="493"/>
      <c r="FJ62" s="493"/>
      <c r="FK62" s="493"/>
      <c r="FL62" s="493"/>
      <c r="FM62" s="493"/>
      <c r="FN62" s="493"/>
      <c r="FO62" s="493"/>
      <c r="FP62" s="493"/>
      <c r="FQ62" s="493"/>
      <c r="FR62" s="493"/>
      <c r="FS62" s="493"/>
      <c r="FT62" s="493"/>
      <c r="FU62" s="493"/>
      <c r="FV62" s="493"/>
      <c r="FW62" s="493"/>
      <c r="FX62" s="493"/>
      <c r="FY62" s="493"/>
      <c r="FZ62" s="493"/>
      <c r="GA62" s="493"/>
      <c r="GB62" s="493"/>
      <c r="GC62" s="493"/>
      <c r="GD62" s="493"/>
    </row>
    <row r="63" spans="3:186" ht="15" customHeight="1">
      <c r="C63" s="76"/>
      <c r="E63" s="89"/>
      <c r="F63" s="76"/>
      <c r="G63" s="89"/>
      <c r="I63" s="76"/>
      <c r="J63" s="89"/>
      <c r="K63" s="158"/>
      <c r="L63" s="76"/>
      <c r="M63" s="89"/>
      <c r="O63" s="492"/>
      <c r="P63" s="492"/>
      <c r="Q63" s="492"/>
      <c r="R63" s="492"/>
      <c r="S63" s="492"/>
      <c r="T63" s="492"/>
      <c r="U63" s="492"/>
      <c r="V63" s="492"/>
      <c r="W63" s="492"/>
      <c r="X63" s="492"/>
      <c r="Y63" s="492"/>
      <c r="Z63" s="492"/>
      <c r="AA63" s="492"/>
      <c r="AB63" s="492"/>
      <c r="AC63" s="492"/>
      <c r="AD63" s="492"/>
      <c r="AE63" s="492"/>
      <c r="AF63" s="492"/>
      <c r="AG63" s="492"/>
      <c r="AH63" s="493"/>
      <c r="AI63" s="493"/>
      <c r="AJ63" s="493"/>
      <c r="AK63" s="493"/>
      <c r="AL63" s="493"/>
      <c r="AM63" s="493"/>
      <c r="AN63" s="493"/>
      <c r="AO63" s="493"/>
      <c r="AP63" s="493"/>
      <c r="AQ63" s="493"/>
      <c r="AR63" s="493"/>
      <c r="AS63" s="493"/>
      <c r="AT63" s="493"/>
      <c r="AU63" s="493"/>
      <c r="AV63" s="493"/>
      <c r="AW63" s="493"/>
      <c r="AX63" s="493"/>
      <c r="AY63" s="493"/>
      <c r="AZ63" s="493"/>
      <c r="BA63" s="493"/>
      <c r="BB63" s="493"/>
      <c r="BC63" s="493"/>
      <c r="BD63" s="493"/>
      <c r="BE63" s="493"/>
      <c r="BF63" s="493"/>
      <c r="BG63" s="493"/>
      <c r="BH63" s="493"/>
      <c r="BI63" s="493"/>
      <c r="BJ63" s="493"/>
      <c r="BK63" s="493"/>
      <c r="BL63" s="493"/>
      <c r="BM63" s="493"/>
      <c r="BN63" s="493"/>
      <c r="BO63" s="493"/>
      <c r="BP63" s="493"/>
      <c r="BQ63" s="493"/>
      <c r="BR63" s="493"/>
      <c r="BS63" s="493"/>
      <c r="BT63" s="493"/>
      <c r="BU63" s="493"/>
      <c r="BV63" s="493"/>
      <c r="BW63" s="493"/>
      <c r="BX63" s="493"/>
      <c r="BY63" s="493"/>
      <c r="BZ63" s="493"/>
      <c r="CA63" s="493"/>
      <c r="CB63" s="493"/>
      <c r="CC63" s="493"/>
      <c r="CD63" s="493"/>
      <c r="CE63" s="493"/>
      <c r="CF63" s="493"/>
      <c r="CG63" s="493"/>
      <c r="CH63" s="493"/>
      <c r="CI63" s="493"/>
      <c r="CJ63" s="493"/>
      <c r="CK63" s="493"/>
      <c r="CL63" s="493"/>
      <c r="CM63" s="493"/>
      <c r="CN63" s="493"/>
      <c r="CO63" s="493"/>
      <c r="CP63" s="493"/>
      <c r="CQ63" s="493"/>
      <c r="CR63" s="493"/>
      <c r="CS63" s="493"/>
      <c r="CT63" s="493"/>
      <c r="CU63" s="493"/>
      <c r="CV63" s="493"/>
      <c r="CW63" s="493"/>
      <c r="CX63" s="493"/>
      <c r="CY63" s="493"/>
      <c r="CZ63" s="493"/>
      <c r="DA63" s="493"/>
      <c r="DB63" s="493"/>
      <c r="DC63" s="493"/>
      <c r="DD63" s="493"/>
      <c r="DE63" s="493"/>
      <c r="DF63" s="493"/>
      <c r="DG63" s="493"/>
      <c r="DH63" s="493"/>
      <c r="DI63" s="493"/>
      <c r="DJ63" s="493"/>
      <c r="DK63" s="493"/>
      <c r="DL63" s="493"/>
      <c r="DM63" s="493"/>
      <c r="DN63" s="493"/>
      <c r="DO63" s="493"/>
      <c r="DP63" s="493"/>
      <c r="DQ63" s="493"/>
      <c r="DR63" s="493"/>
      <c r="DS63" s="493"/>
      <c r="DT63" s="493"/>
      <c r="DU63" s="493"/>
      <c r="DV63" s="493"/>
      <c r="DW63" s="493"/>
      <c r="DX63" s="493"/>
      <c r="DY63" s="493"/>
      <c r="DZ63" s="493"/>
      <c r="EA63" s="493"/>
      <c r="EB63" s="493"/>
      <c r="EC63" s="493"/>
      <c r="ED63" s="493"/>
      <c r="EE63" s="493"/>
      <c r="EF63" s="493"/>
      <c r="EG63" s="493"/>
      <c r="EH63" s="493"/>
      <c r="EI63" s="493"/>
      <c r="EJ63" s="493"/>
      <c r="EK63" s="493"/>
      <c r="EL63" s="493"/>
      <c r="EM63" s="493"/>
      <c r="EN63" s="493"/>
      <c r="EO63" s="493"/>
      <c r="EP63" s="493"/>
      <c r="EQ63" s="493"/>
      <c r="ER63" s="493"/>
      <c r="ES63" s="493"/>
      <c r="ET63" s="493"/>
      <c r="EU63" s="493"/>
      <c r="EV63" s="493"/>
      <c r="EW63" s="493"/>
      <c r="EX63" s="493"/>
      <c r="EY63" s="493"/>
      <c r="EZ63" s="493"/>
      <c r="FA63" s="493"/>
      <c r="FB63" s="493"/>
      <c r="FC63" s="493"/>
      <c r="FD63" s="493"/>
      <c r="FE63" s="493"/>
      <c r="FF63" s="493"/>
      <c r="FG63" s="493"/>
      <c r="FH63" s="493"/>
      <c r="FI63" s="493"/>
      <c r="FJ63" s="493"/>
      <c r="FK63" s="493"/>
      <c r="FL63" s="493"/>
      <c r="FM63" s="493"/>
      <c r="FN63" s="493"/>
      <c r="FO63" s="493"/>
      <c r="FP63" s="493"/>
      <c r="FQ63" s="493"/>
      <c r="FR63" s="493"/>
      <c r="FS63" s="493"/>
      <c r="FT63" s="493"/>
      <c r="FU63" s="493"/>
      <c r="FV63" s="493"/>
      <c r="FW63" s="493"/>
      <c r="FX63" s="493"/>
      <c r="FY63" s="493"/>
      <c r="FZ63" s="493"/>
      <c r="GA63" s="493"/>
      <c r="GB63" s="493"/>
      <c r="GC63" s="493"/>
      <c r="GD63" s="493"/>
    </row>
    <row r="64" spans="3:186" ht="15" customHeight="1">
      <c r="C64" s="76"/>
      <c r="E64" s="89"/>
      <c r="F64" s="76"/>
      <c r="G64" s="89"/>
      <c r="I64" s="76"/>
      <c r="J64" s="89"/>
      <c r="K64" s="158"/>
      <c r="L64" s="76"/>
      <c r="M64" s="89"/>
      <c r="O64" s="492"/>
      <c r="P64" s="492"/>
      <c r="Q64" s="492"/>
      <c r="R64" s="492"/>
      <c r="S64" s="492"/>
      <c r="T64" s="492"/>
      <c r="U64" s="492"/>
      <c r="V64" s="492"/>
      <c r="W64" s="492"/>
      <c r="X64" s="492"/>
      <c r="Y64" s="492"/>
      <c r="Z64" s="492"/>
      <c r="AA64" s="492"/>
      <c r="AB64" s="492"/>
      <c r="AC64" s="492"/>
      <c r="AD64" s="492"/>
      <c r="AE64" s="492"/>
      <c r="AF64" s="492"/>
      <c r="AG64" s="492"/>
      <c r="AH64" s="493"/>
      <c r="AI64" s="493"/>
      <c r="AJ64" s="493"/>
      <c r="AK64" s="493"/>
      <c r="AL64" s="493"/>
      <c r="AM64" s="493"/>
      <c r="AN64" s="493"/>
      <c r="AO64" s="493"/>
      <c r="AP64" s="493"/>
      <c r="AQ64" s="493"/>
      <c r="AR64" s="493"/>
      <c r="AS64" s="493"/>
      <c r="AT64" s="493"/>
      <c r="AU64" s="493"/>
      <c r="AV64" s="493"/>
      <c r="AW64" s="493"/>
      <c r="AX64" s="493"/>
      <c r="AY64" s="493"/>
      <c r="AZ64" s="493"/>
      <c r="BA64" s="493"/>
      <c r="BB64" s="493"/>
      <c r="BC64" s="493"/>
      <c r="BD64" s="493"/>
      <c r="BE64" s="493"/>
      <c r="BF64" s="493"/>
      <c r="BG64" s="493"/>
      <c r="BH64" s="493"/>
      <c r="BI64" s="493"/>
      <c r="BJ64" s="493"/>
      <c r="BK64" s="493"/>
      <c r="BL64" s="493"/>
      <c r="BM64" s="493"/>
      <c r="BN64" s="493"/>
      <c r="BO64" s="493"/>
      <c r="BP64" s="493"/>
      <c r="BQ64" s="493"/>
      <c r="BR64" s="493"/>
      <c r="BS64" s="493"/>
      <c r="BT64" s="493"/>
      <c r="BU64" s="493"/>
      <c r="BV64" s="493"/>
      <c r="BW64" s="493"/>
      <c r="BX64" s="493"/>
      <c r="BY64" s="493"/>
      <c r="BZ64" s="493"/>
      <c r="CA64" s="493"/>
      <c r="CB64" s="493"/>
      <c r="CC64" s="493"/>
      <c r="CD64" s="493"/>
      <c r="CE64" s="493"/>
      <c r="CF64" s="493"/>
      <c r="CG64" s="493"/>
      <c r="CH64" s="493"/>
      <c r="CI64" s="493"/>
      <c r="CJ64" s="493"/>
      <c r="CK64" s="493"/>
      <c r="CL64" s="493"/>
      <c r="CM64" s="493"/>
      <c r="CN64" s="493"/>
      <c r="CO64" s="493"/>
      <c r="CP64" s="493"/>
      <c r="CQ64" s="493"/>
      <c r="CR64" s="493"/>
      <c r="CS64" s="493"/>
      <c r="CT64" s="493"/>
      <c r="CU64" s="493"/>
      <c r="CV64" s="493"/>
      <c r="CW64" s="493"/>
      <c r="CX64" s="493"/>
      <c r="CY64" s="493"/>
      <c r="CZ64" s="493"/>
      <c r="DA64" s="493"/>
      <c r="DB64" s="493"/>
      <c r="DC64" s="493"/>
      <c r="DD64" s="493"/>
      <c r="DE64" s="493"/>
      <c r="DF64" s="493"/>
      <c r="DG64" s="493"/>
      <c r="DH64" s="493"/>
      <c r="DI64" s="493"/>
      <c r="DJ64" s="493"/>
      <c r="DK64" s="493"/>
      <c r="DL64" s="493"/>
      <c r="DM64" s="493"/>
      <c r="DN64" s="493"/>
      <c r="DO64" s="493"/>
      <c r="DP64" s="493"/>
      <c r="DQ64" s="493"/>
      <c r="DR64" s="493"/>
      <c r="DS64" s="493"/>
      <c r="DT64" s="493"/>
      <c r="DU64" s="493"/>
      <c r="DV64" s="493"/>
      <c r="DW64" s="493"/>
      <c r="DX64" s="493"/>
      <c r="DY64" s="493"/>
      <c r="DZ64" s="493"/>
      <c r="EA64" s="493"/>
      <c r="EB64" s="493"/>
      <c r="EC64" s="493"/>
      <c r="ED64" s="493"/>
      <c r="EE64" s="493"/>
      <c r="EF64" s="493"/>
      <c r="EG64" s="493"/>
      <c r="EH64" s="493"/>
      <c r="EI64" s="493"/>
      <c r="EJ64" s="493"/>
      <c r="EK64" s="493"/>
      <c r="EL64" s="493"/>
      <c r="EM64" s="493"/>
      <c r="EN64" s="493"/>
      <c r="EO64" s="493"/>
      <c r="EP64" s="493"/>
      <c r="EQ64" s="493"/>
      <c r="ER64" s="493"/>
      <c r="ES64" s="493"/>
      <c r="ET64" s="493"/>
      <c r="EU64" s="493"/>
      <c r="EV64" s="493"/>
      <c r="EW64" s="493"/>
      <c r="EX64" s="493"/>
      <c r="EY64" s="493"/>
      <c r="EZ64" s="493"/>
      <c r="FA64" s="493"/>
      <c r="FB64" s="493"/>
      <c r="FC64" s="493"/>
      <c r="FD64" s="493"/>
      <c r="FE64" s="493"/>
      <c r="FF64" s="493"/>
      <c r="FG64" s="493"/>
      <c r="FH64" s="493"/>
      <c r="FI64" s="493"/>
      <c r="FJ64" s="493"/>
      <c r="FK64" s="493"/>
      <c r="FL64" s="493"/>
      <c r="FM64" s="493"/>
      <c r="FN64" s="493"/>
      <c r="FO64" s="493"/>
      <c r="FP64" s="493"/>
      <c r="FQ64" s="493"/>
      <c r="FR64" s="493"/>
      <c r="FS64" s="493"/>
      <c r="FT64" s="493"/>
      <c r="FU64" s="493"/>
      <c r="FV64" s="493"/>
      <c r="FW64" s="493"/>
      <c r="FX64" s="493"/>
      <c r="FY64" s="493"/>
      <c r="FZ64" s="493"/>
      <c r="GA64" s="493"/>
      <c r="GB64" s="493"/>
      <c r="GC64" s="493"/>
      <c r="GD64" s="493"/>
    </row>
    <row r="65" spans="1:186" ht="15" customHeight="1">
      <c r="C65" s="76"/>
      <c r="E65" s="89"/>
      <c r="F65" s="76"/>
      <c r="G65" s="89"/>
      <c r="I65" s="76"/>
      <c r="J65" s="89"/>
      <c r="K65" s="158"/>
      <c r="L65" s="76"/>
      <c r="M65" s="89"/>
      <c r="O65" s="492"/>
      <c r="P65" s="492"/>
      <c r="Q65" s="492"/>
      <c r="R65" s="492"/>
      <c r="S65" s="492"/>
      <c r="T65" s="492"/>
      <c r="U65" s="492"/>
      <c r="V65" s="492"/>
      <c r="W65" s="492"/>
      <c r="X65" s="492"/>
      <c r="Y65" s="492"/>
      <c r="Z65" s="492"/>
      <c r="AA65" s="492"/>
      <c r="AB65" s="492"/>
      <c r="AC65" s="492"/>
      <c r="AD65" s="492"/>
      <c r="AE65" s="492"/>
      <c r="AF65" s="492"/>
      <c r="AG65" s="492"/>
      <c r="AH65" s="493"/>
      <c r="AI65" s="493"/>
      <c r="AJ65" s="493"/>
      <c r="AK65" s="493"/>
      <c r="AL65" s="493"/>
      <c r="AM65" s="493"/>
      <c r="AN65" s="493"/>
      <c r="AO65" s="493"/>
      <c r="AP65" s="493"/>
      <c r="AQ65" s="493"/>
      <c r="AR65" s="493"/>
      <c r="AS65" s="493"/>
      <c r="AT65" s="493"/>
      <c r="AU65" s="493"/>
      <c r="AV65" s="493"/>
      <c r="AW65" s="493"/>
      <c r="AX65" s="493"/>
      <c r="AY65" s="493"/>
      <c r="AZ65" s="493"/>
      <c r="BA65" s="493"/>
      <c r="BB65" s="493"/>
      <c r="BC65" s="493"/>
      <c r="BD65" s="493"/>
      <c r="BE65" s="493"/>
      <c r="BF65" s="493"/>
      <c r="BG65" s="493"/>
      <c r="BH65" s="493"/>
      <c r="BI65" s="493"/>
      <c r="BJ65" s="493"/>
      <c r="BK65" s="493"/>
      <c r="BL65" s="493"/>
      <c r="BM65" s="493"/>
      <c r="BN65" s="493"/>
      <c r="BO65" s="493"/>
      <c r="BP65" s="493"/>
      <c r="BQ65" s="493"/>
      <c r="BR65" s="493"/>
      <c r="BS65" s="493"/>
      <c r="BT65" s="493"/>
      <c r="BU65" s="493"/>
      <c r="BV65" s="493"/>
      <c r="BW65" s="493"/>
      <c r="BX65" s="493"/>
      <c r="BY65" s="493"/>
      <c r="BZ65" s="493"/>
      <c r="CA65" s="493"/>
      <c r="CB65" s="493"/>
      <c r="CC65" s="493"/>
      <c r="CD65" s="493"/>
      <c r="CE65" s="493"/>
      <c r="CF65" s="493"/>
      <c r="CG65" s="493"/>
      <c r="CH65" s="493"/>
      <c r="CI65" s="493"/>
      <c r="CJ65" s="493"/>
      <c r="CK65" s="493"/>
      <c r="CL65" s="493"/>
      <c r="CM65" s="493"/>
      <c r="CN65" s="493"/>
      <c r="CO65" s="493"/>
      <c r="CP65" s="493"/>
      <c r="CQ65" s="493"/>
      <c r="CR65" s="493"/>
      <c r="CS65" s="493"/>
      <c r="CT65" s="493"/>
      <c r="CU65" s="493"/>
      <c r="CV65" s="493"/>
      <c r="CW65" s="493"/>
      <c r="CX65" s="493"/>
      <c r="CY65" s="493"/>
      <c r="CZ65" s="493"/>
      <c r="DA65" s="493"/>
      <c r="DB65" s="493"/>
      <c r="DC65" s="493"/>
      <c r="DD65" s="493"/>
      <c r="DE65" s="493"/>
      <c r="DF65" s="493"/>
      <c r="DG65" s="493"/>
      <c r="DH65" s="493"/>
      <c r="DI65" s="493"/>
      <c r="DJ65" s="493"/>
      <c r="DK65" s="493"/>
      <c r="DL65" s="493"/>
      <c r="DM65" s="493"/>
      <c r="DN65" s="493"/>
      <c r="DO65" s="493"/>
      <c r="DP65" s="493"/>
      <c r="DQ65" s="493"/>
      <c r="DR65" s="493"/>
      <c r="DS65" s="493"/>
      <c r="DT65" s="493"/>
      <c r="DU65" s="493"/>
      <c r="DV65" s="493"/>
      <c r="DW65" s="493"/>
      <c r="DX65" s="493"/>
      <c r="DY65" s="493"/>
      <c r="DZ65" s="493"/>
      <c r="EA65" s="493"/>
      <c r="EB65" s="493"/>
      <c r="EC65" s="493"/>
      <c r="ED65" s="493"/>
      <c r="EE65" s="493"/>
      <c r="EF65" s="493"/>
      <c r="EG65" s="493"/>
      <c r="EH65" s="493"/>
      <c r="EI65" s="493"/>
      <c r="EJ65" s="493"/>
      <c r="EK65" s="493"/>
      <c r="EL65" s="493"/>
      <c r="EM65" s="493"/>
      <c r="EN65" s="493"/>
      <c r="EO65" s="493"/>
      <c r="EP65" s="493"/>
      <c r="EQ65" s="493"/>
      <c r="ER65" s="493"/>
      <c r="ES65" s="493"/>
      <c r="ET65" s="493"/>
      <c r="EU65" s="493"/>
      <c r="EV65" s="493"/>
      <c r="EW65" s="493"/>
      <c r="EX65" s="493"/>
      <c r="EY65" s="493"/>
      <c r="EZ65" s="493"/>
      <c r="FA65" s="493"/>
      <c r="FB65" s="493"/>
      <c r="FC65" s="493"/>
      <c r="FD65" s="493"/>
      <c r="FE65" s="493"/>
      <c r="FF65" s="493"/>
      <c r="FG65" s="493"/>
      <c r="FH65" s="493"/>
      <c r="FI65" s="493"/>
      <c r="FJ65" s="493"/>
      <c r="FK65" s="493"/>
      <c r="FL65" s="493"/>
      <c r="FM65" s="493"/>
      <c r="FN65" s="493"/>
      <c r="FO65" s="493"/>
      <c r="FP65" s="493"/>
      <c r="FQ65" s="493"/>
      <c r="FR65" s="493"/>
      <c r="FS65" s="493"/>
      <c r="FT65" s="493"/>
      <c r="FU65" s="493"/>
      <c r="FV65" s="493"/>
      <c r="FW65" s="493"/>
      <c r="FX65" s="493"/>
      <c r="FY65" s="493"/>
      <c r="FZ65" s="493"/>
      <c r="GA65" s="493"/>
      <c r="GB65" s="493"/>
      <c r="GC65" s="493"/>
      <c r="GD65" s="493"/>
    </row>
    <row r="66" spans="1:186" ht="15" customHeight="1">
      <c r="C66" s="76"/>
      <c r="E66" s="89"/>
      <c r="F66" s="76"/>
      <c r="G66" s="89"/>
      <c r="I66" s="76"/>
      <c r="J66" s="89"/>
      <c r="K66" s="158"/>
      <c r="L66" s="76"/>
      <c r="M66" s="89"/>
      <c r="O66" s="492"/>
      <c r="P66" s="492"/>
      <c r="Q66" s="492"/>
      <c r="R66" s="492"/>
      <c r="S66" s="492"/>
      <c r="T66" s="492"/>
      <c r="U66" s="492"/>
      <c r="V66" s="492"/>
      <c r="W66" s="492"/>
      <c r="X66" s="492"/>
      <c r="Y66" s="492"/>
      <c r="Z66" s="492"/>
      <c r="AA66" s="492"/>
      <c r="AB66" s="492"/>
      <c r="AC66" s="492"/>
      <c r="AD66" s="492"/>
      <c r="AE66" s="492"/>
      <c r="AF66" s="492"/>
      <c r="AG66" s="492"/>
      <c r="AH66" s="493"/>
      <c r="AI66" s="493"/>
      <c r="AJ66" s="493"/>
      <c r="AK66" s="493"/>
      <c r="AL66" s="493"/>
      <c r="AM66" s="493"/>
      <c r="AN66" s="493"/>
      <c r="AO66" s="493"/>
      <c r="AP66" s="493"/>
      <c r="AQ66" s="493"/>
      <c r="AR66" s="493"/>
      <c r="AS66" s="493"/>
      <c r="AT66" s="493"/>
      <c r="AU66" s="493"/>
      <c r="AV66" s="493"/>
      <c r="AW66" s="493"/>
      <c r="AX66" s="493"/>
      <c r="AY66" s="493"/>
      <c r="AZ66" s="493"/>
      <c r="BA66" s="493"/>
      <c r="BB66" s="493"/>
      <c r="BC66" s="493"/>
      <c r="BD66" s="493"/>
      <c r="BE66" s="493"/>
      <c r="BF66" s="493"/>
      <c r="BG66" s="493"/>
      <c r="BH66" s="493"/>
      <c r="BI66" s="493"/>
      <c r="BJ66" s="493"/>
      <c r="BK66" s="493"/>
      <c r="BL66" s="493"/>
      <c r="BM66" s="493"/>
      <c r="BN66" s="493"/>
      <c r="BO66" s="493"/>
      <c r="BP66" s="493"/>
      <c r="BQ66" s="493"/>
      <c r="BR66" s="493"/>
      <c r="BS66" s="493"/>
      <c r="BT66" s="493"/>
      <c r="BU66" s="493"/>
      <c r="BV66" s="493"/>
      <c r="BW66" s="493"/>
      <c r="BX66" s="493"/>
      <c r="BY66" s="493"/>
      <c r="BZ66" s="493"/>
      <c r="CA66" s="493"/>
      <c r="CB66" s="493"/>
      <c r="CC66" s="493"/>
      <c r="CD66" s="493"/>
      <c r="CE66" s="493"/>
      <c r="CF66" s="493"/>
      <c r="CG66" s="493"/>
      <c r="CH66" s="493"/>
      <c r="CI66" s="493"/>
      <c r="CJ66" s="493"/>
      <c r="CK66" s="493"/>
      <c r="CL66" s="493"/>
      <c r="CM66" s="493"/>
      <c r="CN66" s="493"/>
      <c r="CO66" s="493"/>
      <c r="CP66" s="493"/>
      <c r="CQ66" s="493"/>
      <c r="CR66" s="493"/>
      <c r="CS66" s="493"/>
      <c r="CT66" s="493"/>
      <c r="CU66" s="493"/>
      <c r="CV66" s="493"/>
      <c r="CW66" s="493"/>
      <c r="CX66" s="493"/>
      <c r="CY66" s="493"/>
      <c r="CZ66" s="493"/>
      <c r="DA66" s="493"/>
      <c r="DB66" s="493"/>
      <c r="DC66" s="493"/>
      <c r="DD66" s="493"/>
      <c r="DE66" s="493"/>
      <c r="DF66" s="493"/>
      <c r="DG66" s="493"/>
      <c r="DH66" s="493"/>
      <c r="DI66" s="493"/>
      <c r="DJ66" s="493"/>
      <c r="DK66" s="493"/>
      <c r="DL66" s="493"/>
      <c r="DM66" s="493"/>
      <c r="DN66" s="493"/>
      <c r="DO66" s="493"/>
      <c r="DP66" s="493"/>
      <c r="DQ66" s="493"/>
      <c r="DR66" s="493"/>
      <c r="DS66" s="493"/>
      <c r="DT66" s="493"/>
      <c r="DU66" s="493"/>
      <c r="DV66" s="493"/>
      <c r="DW66" s="493"/>
      <c r="DX66" s="493"/>
      <c r="DY66" s="493"/>
      <c r="DZ66" s="493"/>
      <c r="EA66" s="493"/>
      <c r="EB66" s="493"/>
      <c r="EC66" s="493"/>
      <c r="ED66" s="493"/>
      <c r="EE66" s="493"/>
      <c r="EF66" s="493"/>
      <c r="EG66" s="493"/>
      <c r="EH66" s="493"/>
      <c r="EI66" s="493"/>
      <c r="EJ66" s="493"/>
      <c r="EK66" s="493"/>
      <c r="EL66" s="493"/>
      <c r="EM66" s="493"/>
      <c r="EN66" s="493"/>
      <c r="EO66" s="493"/>
      <c r="EP66" s="493"/>
      <c r="EQ66" s="493"/>
      <c r="ER66" s="493"/>
      <c r="ES66" s="493"/>
      <c r="ET66" s="493"/>
      <c r="EU66" s="493"/>
      <c r="EV66" s="493"/>
      <c r="EW66" s="493"/>
      <c r="EX66" s="493"/>
      <c r="EY66" s="493"/>
      <c r="EZ66" s="493"/>
      <c r="FA66" s="493"/>
      <c r="FB66" s="493"/>
      <c r="FC66" s="493"/>
      <c r="FD66" s="493"/>
      <c r="FE66" s="493"/>
      <c r="FF66" s="493"/>
      <c r="FG66" s="493"/>
      <c r="FH66" s="493"/>
      <c r="FI66" s="493"/>
      <c r="FJ66" s="493"/>
      <c r="FK66" s="493"/>
      <c r="FL66" s="493"/>
      <c r="FM66" s="493"/>
      <c r="FN66" s="493"/>
      <c r="FO66" s="493"/>
      <c r="FP66" s="493"/>
      <c r="FQ66" s="493"/>
      <c r="FR66" s="493"/>
      <c r="FS66" s="493"/>
      <c r="FT66" s="493"/>
      <c r="FU66" s="493"/>
      <c r="FV66" s="493"/>
      <c r="FW66" s="493"/>
      <c r="FX66" s="493"/>
      <c r="FY66" s="493"/>
      <c r="FZ66" s="493"/>
      <c r="GA66" s="493"/>
      <c r="GB66" s="493"/>
      <c r="GC66" s="493"/>
      <c r="GD66" s="493"/>
    </row>
    <row r="67" spans="1:186" ht="15" customHeight="1">
      <c r="C67" s="76"/>
      <c r="E67" s="89"/>
      <c r="F67" s="76"/>
      <c r="G67" s="89"/>
      <c r="I67" s="76"/>
      <c r="J67" s="89"/>
      <c r="K67" s="158"/>
      <c r="L67" s="76"/>
      <c r="M67" s="89"/>
      <c r="O67" s="492"/>
      <c r="P67" s="492"/>
      <c r="Q67" s="492"/>
      <c r="R67" s="492"/>
      <c r="S67" s="492"/>
      <c r="T67" s="492"/>
      <c r="U67" s="492"/>
      <c r="V67" s="492"/>
      <c r="W67" s="492"/>
      <c r="X67" s="492"/>
      <c r="Y67" s="492"/>
      <c r="Z67" s="492"/>
      <c r="AA67" s="492"/>
      <c r="AB67" s="492"/>
      <c r="AC67" s="492"/>
      <c r="AD67" s="492"/>
      <c r="AE67" s="492"/>
      <c r="AF67" s="492"/>
      <c r="AG67" s="492"/>
      <c r="AH67" s="493"/>
      <c r="AI67" s="493"/>
      <c r="AJ67" s="493"/>
      <c r="AK67" s="493"/>
      <c r="AL67" s="493"/>
      <c r="AM67" s="493"/>
      <c r="AN67" s="493"/>
      <c r="AO67" s="493"/>
      <c r="AP67" s="493"/>
      <c r="AQ67" s="493"/>
      <c r="AR67" s="493"/>
      <c r="AS67" s="493"/>
      <c r="AT67" s="493"/>
      <c r="AU67" s="493"/>
      <c r="AV67" s="493"/>
      <c r="AW67" s="493"/>
      <c r="AX67" s="493"/>
      <c r="AY67" s="493"/>
      <c r="AZ67" s="493"/>
      <c r="BA67" s="493"/>
      <c r="BB67" s="493"/>
      <c r="BC67" s="493"/>
      <c r="BD67" s="493"/>
      <c r="BE67" s="493"/>
      <c r="BF67" s="493"/>
      <c r="BG67" s="493"/>
      <c r="BH67" s="493"/>
      <c r="BI67" s="493"/>
      <c r="BJ67" s="493"/>
      <c r="BK67" s="493"/>
      <c r="BL67" s="493"/>
      <c r="BM67" s="493"/>
      <c r="BN67" s="493"/>
      <c r="BO67" s="493"/>
      <c r="BP67" s="493"/>
      <c r="BQ67" s="493"/>
      <c r="BR67" s="493"/>
      <c r="BS67" s="493"/>
      <c r="BT67" s="493"/>
      <c r="BU67" s="493"/>
      <c r="BV67" s="493"/>
      <c r="BW67" s="493"/>
      <c r="BX67" s="493"/>
      <c r="BY67" s="493"/>
      <c r="BZ67" s="493"/>
      <c r="CA67" s="493"/>
      <c r="CB67" s="493"/>
      <c r="CC67" s="493"/>
      <c r="CD67" s="493"/>
      <c r="CE67" s="493"/>
      <c r="CF67" s="493"/>
      <c r="CG67" s="493"/>
      <c r="CH67" s="493"/>
      <c r="CI67" s="493"/>
      <c r="CJ67" s="493"/>
      <c r="CK67" s="493"/>
      <c r="CL67" s="493"/>
      <c r="CM67" s="493"/>
      <c r="CN67" s="493"/>
      <c r="CO67" s="493"/>
      <c r="CP67" s="493"/>
      <c r="CQ67" s="493"/>
      <c r="CR67" s="493"/>
      <c r="CS67" s="493"/>
      <c r="CT67" s="493"/>
      <c r="CU67" s="493"/>
      <c r="CV67" s="493"/>
      <c r="CW67" s="493"/>
      <c r="CX67" s="493"/>
      <c r="CY67" s="493"/>
      <c r="CZ67" s="493"/>
      <c r="DA67" s="493"/>
      <c r="DB67" s="493"/>
      <c r="DC67" s="493"/>
      <c r="DD67" s="493"/>
      <c r="DE67" s="493"/>
      <c r="DF67" s="493"/>
      <c r="DG67" s="493"/>
      <c r="DH67" s="493"/>
      <c r="DI67" s="493"/>
      <c r="DJ67" s="493"/>
      <c r="DK67" s="493"/>
      <c r="DL67" s="493"/>
      <c r="DM67" s="493"/>
      <c r="DN67" s="493"/>
      <c r="DO67" s="493"/>
      <c r="DP67" s="493"/>
      <c r="DQ67" s="493"/>
      <c r="DR67" s="493"/>
      <c r="DS67" s="493"/>
      <c r="DT67" s="493"/>
      <c r="DU67" s="493"/>
      <c r="DV67" s="493"/>
      <c r="DW67" s="493"/>
      <c r="DX67" s="493"/>
      <c r="DY67" s="493"/>
      <c r="DZ67" s="493"/>
      <c r="EA67" s="493"/>
      <c r="EB67" s="493"/>
      <c r="EC67" s="493"/>
      <c r="ED67" s="493"/>
      <c r="EE67" s="493"/>
      <c r="EF67" s="493"/>
      <c r="EG67" s="493"/>
      <c r="EH67" s="493"/>
      <c r="EI67" s="493"/>
      <c r="EJ67" s="493"/>
      <c r="EK67" s="493"/>
      <c r="EL67" s="493"/>
      <c r="EM67" s="493"/>
      <c r="EN67" s="493"/>
      <c r="EO67" s="493"/>
      <c r="EP67" s="493"/>
      <c r="EQ67" s="493"/>
      <c r="ER67" s="493"/>
      <c r="ES67" s="493"/>
      <c r="ET67" s="493"/>
      <c r="EU67" s="493"/>
      <c r="EV67" s="493"/>
      <c r="EW67" s="493"/>
      <c r="EX67" s="493"/>
      <c r="EY67" s="493"/>
      <c r="EZ67" s="493"/>
      <c r="FA67" s="493"/>
      <c r="FB67" s="493"/>
      <c r="FC67" s="493"/>
      <c r="FD67" s="493"/>
      <c r="FE67" s="493"/>
      <c r="FF67" s="493"/>
      <c r="FG67" s="493"/>
      <c r="FH67" s="493"/>
      <c r="FI67" s="493"/>
      <c r="FJ67" s="493"/>
      <c r="FK67" s="493"/>
      <c r="FL67" s="493"/>
      <c r="FM67" s="493"/>
      <c r="FN67" s="493"/>
      <c r="FO67" s="493"/>
      <c r="FP67" s="493"/>
      <c r="FQ67" s="493"/>
      <c r="FR67" s="493"/>
      <c r="FS67" s="493"/>
      <c r="FT67" s="493"/>
      <c r="FU67" s="493"/>
      <c r="FV67" s="493"/>
      <c r="FW67" s="493"/>
      <c r="FX67" s="493"/>
      <c r="FY67" s="493"/>
      <c r="FZ67" s="493"/>
      <c r="GA67" s="493"/>
      <c r="GB67" s="493"/>
      <c r="GC67" s="493"/>
      <c r="GD67" s="493"/>
    </row>
    <row r="68" spans="1:186" ht="15" customHeight="1">
      <c r="C68" s="76"/>
      <c r="E68" s="89"/>
      <c r="F68" s="76"/>
      <c r="G68" s="89"/>
      <c r="I68" s="76"/>
      <c r="J68" s="89"/>
      <c r="K68" s="158"/>
      <c r="L68" s="76"/>
      <c r="M68" s="89"/>
      <c r="O68" s="492"/>
      <c r="P68" s="492"/>
      <c r="Q68" s="492"/>
      <c r="R68" s="492"/>
      <c r="S68" s="492"/>
      <c r="T68" s="492"/>
      <c r="U68" s="492"/>
      <c r="V68" s="492"/>
      <c r="W68" s="492"/>
      <c r="X68" s="492"/>
      <c r="Y68" s="492"/>
      <c r="Z68" s="492"/>
      <c r="AA68" s="492"/>
      <c r="AB68" s="492"/>
      <c r="AC68" s="492"/>
      <c r="AD68" s="492"/>
      <c r="AE68" s="492"/>
      <c r="AF68" s="492"/>
      <c r="AG68" s="492"/>
      <c r="AH68" s="493"/>
      <c r="AI68" s="493"/>
      <c r="AJ68" s="493"/>
      <c r="AK68" s="493"/>
      <c r="AL68" s="493"/>
      <c r="AM68" s="493"/>
      <c r="AN68" s="493"/>
      <c r="AO68" s="493"/>
      <c r="AP68" s="493"/>
      <c r="AQ68" s="493"/>
      <c r="AR68" s="493"/>
      <c r="AS68" s="493"/>
      <c r="AT68" s="493"/>
      <c r="AU68" s="493"/>
      <c r="AV68" s="493"/>
      <c r="AW68" s="493"/>
      <c r="AX68" s="493"/>
      <c r="AY68" s="493"/>
      <c r="AZ68" s="493"/>
      <c r="BA68" s="493"/>
      <c r="BB68" s="493"/>
      <c r="BC68" s="493"/>
      <c r="BD68" s="493"/>
      <c r="BE68" s="493"/>
      <c r="BF68" s="493"/>
      <c r="BG68" s="493"/>
      <c r="BH68" s="493"/>
      <c r="BI68" s="493"/>
      <c r="BJ68" s="493"/>
      <c r="BK68" s="493"/>
      <c r="BL68" s="493"/>
      <c r="BM68" s="493"/>
      <c r="BN68" s="493"/>
      <c r="BO68" s="493"/>
      <c r="BP68" s="493"/>
      <c r="BQ68" s="493"/>
      <c r="BR68" s="493"/>
      <c r="BS68" s="493"/>
      <c r="BT68" s="493"/>
      <c r="BU68" s="493"/>
      <c r="BV68" s="493"/>
      <c r="BW68" s="493"/>
      <c r="BX68" s="493"/>
      <c r="BY68" s="493"/>
      <c r="BZ68" s="493"/>
      <c r="CA68" s="493"/>
      <c r="CB68" s="493"/>
      <c r="CC68" s="493"/>
      <c r="CD68" s="493"/>
      <c r="CE68" s="493"/>
      <c r="CF68" s="493"/>
      <c r="CG68" s="493"/>
      <c r="CH68" s="493"/>
      <c r="CI68" s="493"/>
      <c r="CJ68" s="493"/>
      <c r="CK68" s="493"/>
      <c r="CL68" s="493"/>
      <c r="CM68" s="493"/>
      <c r="CN68" s="493"/>
      <c r="CO68" s="493"/>
      <c r="CP68" s="493"/>
      <c r="CQ68" s="493"/>
      <c r="CR68" s="493"/>
      <c r="CS68" s="493"/>
      <c r="CT68" s="493"/>
      <c r="CU68" s="493"/>
      <c r="CV68" s="493"/>
      <c r="CW68" s="493"/>
      <c r="CX68" s="493"/>
      <c r="CY68" s="493"/>
      <c r="CZ68" s="493"/>
      <c r="DA68" s="493"/>
      <c r="DB68" s="493"/>
      <c r="DC68" s="493"/>
      <c r="DD68" s="493"/>
      <c r="DE68" s="493"/>
      <c r="DF68" s="493"/>
      <c r="DG68" s="493"/>
      <c r="DH68" s="493"/>
      <c r="DI68" s="493"/>
      <c r="DJ68" s="493"/>
      <c r="DK68" s="493"/>
      <c r="DL68" s="493"/>
      <c r="DM68" s="493"/>
      <c r="DN68" s="493"/>
      <c r="DO68" s="493"/>
      <c r="DP68" s="493"/>
      <c r="DQ68" s="493"/>
      <c r="DR68" s="493"/>
      <c r="DS68" s="493"/>
      <c r="DT68" s="493"/>
      <c r="DU68" s="493"/>
      <c r="DV68" s="493"/>
      <c r="DW68" s="493"/>
      <c r="DX68" s="493"/>
      <c r="DY68" s="493"/>
      <c r="DZ68" s="493"/>
      <c r="EA68" s="493"/>
      <c r="EB68" s="493"/>
      <c r="EC68" s="493"/>
      <c r="ED68" s="493"/>
      <c r="EE68" s="493"/>
      <c r="EF68" s="493"/>
      <c r="EG68" s="493"/>
      <c r="EH68" s="493"/>
      <c r="EI68" s="493"/>
      <c r="EJ68" s="493"/>
      <c r="EK68" s="493"/>
      <c r="EL68" s="493"/>
      <c r="EM68" s="493"/>
      <c r="EN68" s="493"/>
      <c r="EO68" s="493"/>
      <c r="EP68" s="493"/>
      <c r="EQ68" s="493"/>
      <c r="ER68" s="493"/>
      <c r="ES68" s="493"/>
      <c r="ET68" s="493"/>
      <c r="EU68" s="493"/>
      <c r="EV68" s="493"/>
      <c r="EW68" s="493"/>
      <c r="EX68" s="493"/>
      <c r="EY68" s="493"/>
      <c r="EZ68" s="493"/>
      <c r="FA68" s="493"/>
      <c r="FB68" s="493"/>
      <c r="FC68" s="493"/>
      <c r="FD68" s="493"/>
      <c r="FE68" s="493"/>
      <c r="FF68" s="493"/>
      <c r="FG68" s="493"/>
      <c r="FH68" s="493"/>
      <c r="FI68" s="493"/>
      <c r="FJ68" s="493"/>
      <c r="FK68" s="493"/>
      <c r="FL68" s="493"/>
      <c r="FM68" s="493"/>
      <c r="FN68" s="493"/>
      <c r="FO68" s="493"/>
      <c r="FP68" s="493"/>
      <c r="FQ68" s="493"/>
      <c r="FR68" s="493"/>
      <c r="FS68" s="493"/>
      <c r="FT68" s="493"/>
      <c r="FU68" s="493"/>
      <c r="FV68" s="493"/>
      <c r="FW68" s="493"/>
      <c r="FX68" s="493"/>
      <c r="FY68" s="493"/>
      <c r="FZ68" s="493"/>
      <c r="GA68" s="493"/>
      <c r="GB68" s="493"/>
      <c r="GC68" s="493"/>
      <c r="GD68" s="493"/>
    </row>
    <row r="69" spans="1:186" ht="15" customHeight="1">
      <c r="C69" s="76"/>
      <c r="E69" s="89"/>
      <c r="F69" s="76"/>
      <c r="G69" s="89"/>
      <c r="I69" s="76"/>
      <c r="J69" s="89"/>
      <c r="K69" s="158"/>
      <c r="L69" s="76"/>
      <c r="M69" s="89"/>
      <c r="O69" s="492"/>
      <c r="P69" s="492"/>
      <c r="Q69" s="492"/>
      <c r="R69" s="492"/>
      <c r="S69" s="492"/>
      <c r="T69" s="492"/>
      <c r="U69" s="492"/>
      <c r="V69" s="492"/>
      <c r="W69" s="492"/>
      <c r="X69" s="492"/>
      <c r="Y69" s="492"/>
      <c r="Z69" s="492"/>
      <c r="AA69" s="492"/>
      <c r="AB69" s="492"/>
      <c r="AC69" s="492"/>
      <c r="AD69" s="492"/>
      <c r="AE69" s="492"/>
      <c r="AF69" s="492"/>
      <c r="AG69" s="492"/>
      <c r="AH69" s="493"/>
      <c r="AI69" s="493"/>
      <c r="AJ69" s="493"/>
      <c r="AK69" s="493"/>
      <c r="AL69" s="493"/>
      <c r="AM69" s="493"/>
      <c r="AN69" s="493"/>
      <c r="AO69" s="493"/>
      <c r="AP69" s="493"/>
      <c r="AQ69" s="493"/>
      <c r="AR69" s="493"/>
      <c r="AS69" s="493"/>
      <c r="AT69" s="493"/>
      <c r="AU69" s="493"/>
      <c r="AV69" s="493"/>
      <c r="AW69" s="493"/>
      <c r="AX69" s="493"/>
      <c r="AY69" s="493"/>
      <c r="AZ69" s="493"/>
      <c r="BA69" s="493"/>
      <c r="BB69" s="493"/>
      <c r="BC69" s="493"/>
      <c r="BD69" s="493"/>
      <c r="BE69" s="493"/>
      <c r="BF69" s="493"/>
      <c r="BG69" s="493"/>
      <c r="BH69" s="493"/>
      <c r="BI69" s="493"/>
      <c r="BJ69" s="493"/>
      <c r="BK69" s="493"/>
      <c r="BL69" s="493"/>
      <c r="BM69" s="493"/>
      <c r="BN69" s="493"/>
      <c r="BO69" s="493"/>
      <c r="BP69" s="493"/>
      <c r="BQ69" s="493"/>
      <c r="BR69" s="493"/>
      <c r="BS69" s="493"/>
      <c r="BT69" s="493"/>
      <c r="BU69" s="493"/>
      <c r="BV69" s="493"/>
      <c r="BW69" s="493"/>
      <c r="BX69" s="493"/>
      <c r="BY69" s="493"/>
      <c r="BZ69" s="493"/>
      <c r="CA69" s="493"/>
      <c r="CB69" s="493"/>
      <c r="CC69" s="493"/>
      <c r="CD69" s="493"/>
      <c r="CE69" s="493"/>
      <c r="CF69" s="493"/>
      <c r="CG69" s="493"/>
      <c r="CH69" s="493"/>
      <c r="CI69" s="493"/>
      <c r="CJ69" s="493"/>
      <c r="CK69" s="493"/>
      <c r="CL69" s="493"/>
      <c r="CM69" s="493"/>
      <c r="CN69" s="493"/>
      <c r="CO69" s="493"/>
      <c r="CP69" s="493"/>
      <c r="CQ69" s="493"/>
      <c r="CR69" s="493"/>
      <c r="CS69" s="493"/>
      <c r="CT69" s="493"/>
      <c r="CU69" s="493"/>
      <c r="CV69" s="493"/>
      <c r="CW69" s="493"/>
      <c r="CX69" s="493"/>
      <c r="CY69" s="493"/>
      <c r="CZ69" s="493"/>
      <c r="DA69" s="493"/>
      <c r="DB69" s="493"/>
      <c r="DC69" s="493"/>
      <c r="DD69" s="493"/>
      <c r="DE69" s="493"/>
      <c r="DF69" s="493"/>
      <c r="DG69" s="493"/>
      <c r="DH69" s="493"/>
      <c r="DI69" s="493"/>
      <c r="DJ69" s="493"/>
      <c r="DK69" s="493"/>
      <c r="DL69" s="493"/>
      <c r="DM69" s="493"/>
      <c r="DN69" s="493"/>
      <c r="DO69" s="493"/>
      <c r="DP69" s="493"/>
      <c r="DQ69" s="493"/>
      <c r="DR69" s="493"/>
      <c r="DS69" s="493"/>
      <c r="DT69" s="493"/>
      <c r="DU69" s="493"/>
      <c r="DV69" s="493"/>
      <c r="DW69" s="493"/>
      <c r="DX69" s="493"/>
      <c r="DY69" s="493"/>
      <c r="DZ69" s="493"/>
      <c r="EA69" s="493"/>
      <c r="EB69" s="493"/>
      <c r="EC69" s="493"/>
      <c r="ED69" s="493"/>
      <c r="EE69" s="493"/>
      <c r="EF69" s="493"/>
      <c r="EG69" s="493"/>
      <c r="EH69" s="493"/>
      <c r="EI69" s="493"/>
      <c r="EJ69" s="493"/>
      <c r="EK69" s="493"/>
      <c r="EL69" s="493"/>
      <c r="EM69" s="493"/>
      <c r="EN69" s="493"/>
      <c r="EO69" s="493"/>
      <c r="EP69" s="493"/>
      <c r="EQ69" s="493"/>
      <c r="ER69" s="493"/>
      <c r="ES69" s="493"/>
      <c r="ET69" s="493"/>
      <c r="EU69" s="493"/>
      <c r="EV69" s="493"/>
      <c r="EW69" s="493"/>
      <c r="EX69" s="493"/>
      <c r="EY69" s="493"/>
      <c r="EZ69" s="493"/>
      <c r="FA69" s="493"/>
      <c r="FB69" s="493"/>
      <c r="FC69" s="493"/>
      <c r="FD69" s="493"/>
      <c r="FE69" s="493"/>
      <c r="FF69" s="493"/>
      <c r="FG69" s="493"/>
      <c r="FH69" s="493"/>
      <c r="FI69" s="493"/>
      <c r="FJ69" s="493"/>
      <c r="FK69" s="493"/>
      <c r="FL69" s="493"/>
      <c r="FM69" s="493"/>
      <c r="FN69" s="493"/>
      <c r="FO69" s="493"/>
      <c r="FP69" s="493"/>
      <c r="FQ69" s="493"/>
      <c r="FR69" s="493"/>
      <c r="FS69" s="493"/>
      <c r="FT69" s="493"/>
      <c r="FU69" s="493"/>
      <c r="FV69" s="493"/>
      <c r="FW69" s="493"/>
      <c r="FX69" s="493"/>
      <c r="FY69" s="493"/>
      <c r="FZ69" s="493"/>
      <c r="GA69" s="493"/>
      <c r="GB69" s="493"/>
      <c r="GC69" s="493"/>
      <c r="GD69" s="493"/>
    </row>
    <row r="70" spans="1:186" ht="15" customHeight="1">
      <c r="C70" s="76"/>
      <c r="E70" s="89"/>
      <c r="F70" s="76"/>
      <c r="G70" s="89"/>
      <c r="I70" s="76"/>
      <c r="J70" s="89"/>
      <c r="K70" s="158"/>
      <c r="L70" s="76"/>
      <c r="M70" s="89"/>
      <c r="O70" s="492"/>
      <c r="P70" s="492"/>
      <c r="Q70" s="492"/>
      <c r="R70" s="492"/>
      <c r="S70" s="492"/>
      <c r="T70" s="492"/>
      <c r="U70" s="492"/>
      <c r="V70" s="492"/>
      <c r="W70" s="492"/>
      <c r="X70" s="492"/>
      <c r="Y70" s="492"/>
      <c r="Z70" s="492"/>
      <c r="AA70" s="492"/>
      <c r="AB70" s="492"/>
      <c r="AC70" s="492"/>
      <c r="AD70" s="492"/>
      <c r="AE70" s="492"/>
      <c r="AF70" s="492"/>
      <c r="AG70" s="492"/>
      <c r="AH70" s="493"/>
      <c r="AI70" s="493"/>
      <c r="AJ70" s="493"/>
      <c r="AK70" s="493"/>
      <c r="AL70" s="493"/>
      <c r="AM70" s="493"/>
      <c r="AN70" s="493"/>
      <c r="AO70" s="493"/>
      <c r="AP70" s="493"/>
      <c r="AQ70" s="493"/>
      <c r="AR70" s="493"/>
      <c r="AS70" s="493"/>
      <c r="AT70" s="493"/>
      <c r="AU70" s="493"/>
      <c r="AV70" s="493"/>
      <c r="AW70" s="493"/>
      <c r="AX70" s="493"/>
      <c r="AY70" s="493"/>
      <c r="AZ70" s="493"/>
      <c r="BA70" s="493"/>
      <c r="BB70" s="493"/>
      <c r="BC70" s="493"/>
      <c r="BD70" s="493"/>
      <c r="BE70" s="493"/>
      <c r="BF70" s="493"/>
      <c r="BG70" s="493"/>
      <c r="BH70" s="493"/>
      <c r="BI70" s="493"/>
      <c r="BJ70" s="493"/>
      <c r="BK70" s="493"/>
      <c r="BL70" s="493"/>
      <c r="BM70" s="493"/>
      <c r="BN70" s="493"/>
      <c r="BO70" s="493"/>
      <c r="BP70" s="493"/>
      <c r="BQ70" s="493"/>
      <c r="BR70" s="493"/>
      <c r="BS70" s="493"/>
      <c r="BT70" s="493"/>
      <c r="BU70" s="493"/>
      <c r="BV70" s="493"/>
      <c r="BW70" s="493"/>
      <c r="BX70" s="493"/>
      <c r="BY70" s="493"/>
      <c r="BZ70" s="493"/>
      <c r="CA70" s="493"/>
      <c r="CB70" s="493"/>
      <c r="CC70" s="493"/>
      <c r="CD70" s="493"/>
      <c r="CE70" s="493"/>
      <c r="CF70" s="493"/>
      <c r="CG70" s="493"/>
      <c r="CH70" s="493"/>
      <c r="CI70" s="493"/>
      <c r="CJ70" s="493"/>
      <c r="CK70" s="493"/>
      <c r="CL70" s="493"/>
      <c r="CM70" s="493"/>
      <c r="CN70" s="493"/>
      <c r="CO70" s="493"/>
      <c r="CP70" s="493"/>
      <c r="CQ70" s="493"/>
      <c r="CR70" s="493"/>
      <c r="CS70" s="493"/>
      <c r="CT70" s="493"/>
      <c r="CU70" s="493"/>
      <c r="CV70" s="493"/>
      <c r="CW70" s="493"/>
      <c r="CX70" s="493"/>
      <c r="CY70" s="493"/>
      <c r="CZ70" s="493"/>
      <c r="DA70" s="493"/>
      <c r="DB70" s="493"/>
      <c r="DC70" s="493"/>
      <c r="DD70" s="493"/>
      <c r="DE70" s="493"/>
      <c r="DF70" s="493"/>
      <c r="DG70" s="493"/>
      <c r="DH70" s="493"/>
      <c r="DI70" s="493"/>
      <c r="DJ70" s="493"/>
      <c r="DK70" s="493"/>
      <c r="DL70" s="493"/>
      <c r="DM70" s="493"/>
      <c r="DN70" s="493"/>
      <c r="DO70" s="493"/>
      <c r="DP70" s="493"/>
      <c r="DQ70" s="493"/>
      <c r="DR70" s="493"/>
      <c r="DS70" s="493"/>
      <c r="DT70" s="493"/>
      <c r="DU70" s="493"/>
      <c r="DV70" s="493"/>
      <c r="DW70" s="493"/>
      <c r="DX70" s="493"/>
      <c r="DY70" s="493"/>
      <c r="DZ70" s="493"/>
      <c r="EA70" s="493"/>
      <c r="EB70" s="493"/>
      <c r="EC70" s="493"/>
      <c r="ED70" s="493"/>
      <c r="EE70" s="493"/>
      <c r="EF70" s="493"/>
      <c r="EG70" s="493"/>
      <c r="EH70" s="493"/>
      <c r="EI70" s="493"/>
      <c r="EJ70" s="493"/>
      <c r="EK70" s="493"/>
      <c r="EL70" s="493"/>
      <c r="EM70" s="493"/>
      <c r="EN70" s="493"/>
      <c r="EO70" s="493"/>
      <c r="EP70" s="493"/>
      <c r="EQ70" s="493"/>
      <c r="ER70" s="493"/>
      <c r="ES70" s="493"/>
      <c r="ET70" s="493"/>
      <c r="EU70" s="493"/>
      <c r="EV70" s="493"/>
      <c r="EW70" s="493"/>
      <c r="EX70" s="493"/>
      <c r="EY70" s="493"/>
      <c r="EZ70" s="493"/>
      <c r="FA70" s="493"/>
      <c r="FB70" s="493"/>
      <c r="FC70" s="493"/>
      <c r="FD70" s="493"/>
      <c r="FE70" s="493"/>
      <c r="FF70" s="493"/>
      <c r="FG70" s="493"/>
      <c r="FH70" s="493"/>
      <c r="FI70" s="493"/>
      <c r="FJ70" s="493"/>
      <c r="FK70" s="493"/>
      <c r="FL70" s="493"/>
      <c r="FM70" s="493"/>
      <c r="FN70" s="493"/>
      <c r="FO70" s="493"/>
      <c r="FP70" s="493"/>
      <c r="FQ70" s="493"/>
      <c r="FR70" s="493"/>
      <c r="FS70" s="493"/>
      <c r="FT70" s="493"/>
      <c r="FU70" s="493"/>
      <c r="FV70" s="493"/>
      <c r="FW70" s="493"/>
      <c r="FX70" s="493"/>
      <c r="FY70" s="493"/>
      <c r="FZ70" s="493"/>
      <c r="GA70" s="493"/>
      <c r="GB70" s="493"/>
      <c r="GC70" s="493"/>
      <c r="GD70" s="493"/>
    </row>
    <row r="71" spans="1:186" ht="15" customHeight="1" thickBot="1">
      <c r="C71" s="76"/>
      <c r="E71" s="89"/>
      <c r="F71" s="76"/>
      <c r="G71" s="89"/>
      <c r="I71" s="76"/>
      <c r="J71" s="89"/>
      <c r="K71" s="158"/>
      <c r="L71" s="76"/>
      <c r="M71" s="89"/>
      <c r="O71" s="492"/>
      <c r="P71" s="492"/>
      <c r="Q71" s="492"/>
      <c r="R71" s="492"/>
      <c r="S71" s="492"/>
      <c r="T71" s="492"/>
      <c r="U71" s="492"/>
      <c r="V71" s="492"/>
      <c r="W71" s="492"/>
      <c r="X71" s="492"/>
      <c r="Y71" s="492"/>
      <c r="Z71" s="492"/>
      <c r="AA71" s="492"/>
      <c r="AB71" s="492"/>
      <c r="AC71" s="492"/>
      <c r="AD71" s="492"/>
      <c r="AE71" s="492"/>
      <c r="AF71" s="492"/>
      <c r="AG71" s="492"/>
      <c r="AH71" s="493"/>
      <c r="AI71" s="493"/>
      <c r="AJ71" s="493"/>
      <c r="AK71" s="493"/>
      <c r="AL71" s="493"/>
      <c r="AM71" s="493"/>
      <c r="AN71" s="493"/>
      <c r="AO71" s="493"/>
      <c r="AP71" s="493"/>
      <c r="AQ71" s="493"/>
      <c r="AR71" s="493"/>
      <c r="AS71" s="493"/>
      <c r="AT71" s="493"/>
      <c r="AU71" s="493"/>
      <c r="AV71" s="493"/>
      <c r="AW71" s="493"/>
      <c r="AX71" s="493"/>
      <c r="AY71" s="493"/>
      <c r="AZ71" s="493"/>
      <c r="BA71" s="493"/>
      <c r="BB71" s="493"/>
      <c r="BC71" s="493"/>
      <c r="BD71" s="493"/>
      <c r="BE71" s="493"/>
      <c r="BF71" s="493"/>
      <c r="BG71" s="493"/>
      <c r="BH71" s="493"/>
      <c r="BI71" s="493"/>
      <c r="BJ71" s="493"/>
      <c r="BK71" s="493"/>
      <c r="BL71" s="493"/>
      <c r="BM71" s="493"/>
      <c r="BN71" s="493"/>
      <c r="BO71" s="493"/>
      <c r="BP71" s="493"/>
      <c r="BQ71" s="493"/>
      <c r="BR71" s="493"/>
      <c r="BS71" s="493"/>
      <c r="BT71" s="493"/>
      <c r="BU71" s="493"/>
      <c r="BV71" s="493"/>
      <c r="BW71" s="493"/>
      <c r="BX71" s="493"/>
      <c r="BY71" s="493"/>
      <c r="BZ71" s="493"/>
      <c r="CA71" s="493"/>
      <c r="CB71" s="493"/>
      <c r="CC71" s="493"/>
      <c r="CD71" s="493"/>
      <c r="CE71" s="493"/>
      <c r="CF71" s="493"/>
      <c r="CG71" s="493"/>
      <c r="CH71" s="493"/>
      <c r="CI71" s="493"/>
      <c r="CJ71" s="493"/>
      <c r="CK71" s="493"/>
      <c r="CL71" s="493"/>
      <c r="CM71" s="493"/>
      <c r="CN71" s="493"/>
      <c r="CO71" s="493"/>
      <c r="CP71" s="493"/>
      <c r="CQ71" s="493"/>
      <c r="CR71" s="493"/>
      <c r="CS71" s="493"/>
      <c r="CT71" s="493"/>
      <c r="CU71" s="493"/>
      <c r="CV71" s="493"/>
      <c r="CW71" s="493"/>
      <c r="CX71" s="493"/>
      <c r="CY71" s="493"/>
      <c r="CZ71" s="493"/>
      <c r="DA71" s="493"/>
      <c r="DB71" s="493"/>
      <c r="DC71" s="493"/>
      <c r="DD71" s="493"/>
      <c r="DE71" s="493"/>
      <c r="DF71" s="493"/>
      <c r="DG71" s="493"/>
      <c r="DH71" s="493"/>
      <c r="DI71" s="493"/>
      <c r="DJ71" s="493"/>
      <c r="DK71" s="493"/>
      <c r="DL71" s="493"/>
      <c r="DM71" s="493"/>
      <c r="DN71" s="493"/>
      <c r="DO71" s="493"/>
      <c r="DP71" s="493"/>
      <c r="DQ71" s="493"/>
      <c r="DR71" s="493"/>
      <c r="DS71" s="493"/>
      <c r="DT71" s="493"/>
      <c r="DU71" s="493"/>
      <c r="DV71" s="493"/>
      <c r="DW71" s="493"/>
      <c r="DX71" s="493"/>
      <c r="DY71" s="493"/>
      <c r="DZ71" s="493"/>
      <c r="EA71" s="493"/>
      <c r="EB71" s="493"/>
      <c r="EC71" s="493"/>
      <c r="ED71" s="493"/>
      <c r="EE71" s="493"/>
      <c r="EF71" s="493"/>
      <c r="EG71" s="493"/>
      <c r="EH71" s="493"/>
      <c r="EI71" s="493"/>
      <c r="EJ71" s="493"/>
      <c r="EK71" s="493"/>
      <c r="EL71" s="493"/>
      <c r="EM71" s="493"/>
      <c r="EN71" s="493"/>
      <c r="EO71" s="493"/>
      <c r="EP71" s="493"/>
      <c r="EQ71" s="493"/>
      <c r="ER71" s="493"/>
      <c r="ES71" s="493"/>
      <c r="ET71" s="493"/>
      <c r="EU71" s="493"/>
      <c r="EV71" s="493"/>
      <c r="EW71" s="493"/>
      <c r="EX71" s="493"/>
      <c r="EY71" s="493"/>
      <c r="EZ71" s="493"/>
      <c r="FA71" s="493"/>
      <c r="FB71" s="493"/>
      <c r="FC71" s="493"/>
      <c r="FD71" s="493"/>
      <c r="FE71" s="493"/>
      <c r="FF71" s="493"/>
      <c r="FG71" s="493"/>
      <c r="FH71" s="493"/>
      <c r="FI71" s="493"/>
      <c r="FJ71" s="493"/>
      <c r="FK71" s="493"/>
      <c r="FL71" s="493"/>
      <c r="FM71" s="493"/>
      <c r="FN71" s="493"/>
      <c r="FO71" s="493"/>
      <c r="FP71" s="493"/>
      <c r="FQ71" s="493"/>
      <c r="FR71" s="493"/>
      <c r="FS71" s="493"/>
      <c r="FT71" s="493"/>
      <c r="FU71" s="493"/>
      <c r="FV71" s="493"/>
      <c r="FW71" s="493"/>
      <c r="FX71" s="493"/>
      <c r="FY71" s="493"/>
      <c r="FZ71" s="493"/>
      <c r="GA71" s="493"/>
      <c r="GB71" s="493"/>
      <c r="GC71" s="493"/>
      <c r="GD71" s="493"/>
    </row>
    <row r="72" spans="1:186" ht="15" customHeight="1">
      <c r="A72" s="159" t="s">
        <v>101</v>
      </c>
      <c r="B72" s="67"/>
      <c r="C72" s="67"/>
      <c r="D72" s="160"/>
      <c r="E72" s="161" t="s">
        <v>102</v>
      </c>
      <c r="F72" s="67"/>
      <c r="G72" s="162"/>
      <c r="H72" s="67"/>
      <c r="I72" s="67"/>
      <c r="J72" s="160"/>
      <c r="K72" s="163" t="s">
        <v>103</v>
      </c>
      <c r="L72" s="67"/>
      <c r="M72" s="162"/>
      <c r="N72" s="68"/>
      <c r="O72" s="492"/>
      <c r="P72" s="492"/>
      <c r="Q72" s="492"/>
      <c r="R72" s="492"/>
      <c r="S72" s="492"/>
      <c r="T72" s="492"/>
      <c r="U72" s="492"/>
      <c r="V72" s="492"/>
      <c r="W72" s="492"/>
      <c r="X72" s="492"/>
      <c r="Y72" s="492"/>
      <c r="Z72" s="492"/>
      <c r="AA72" s="492"/>
      <c r="AB72" s="492"/>
      <c r="AC72" s="492"/>
      <c r="AD72" s="492"/>
      <c r="AE72" s="492"/>
      <c r="AF72" s="492"/>
      <c r="AG72" s="492"/>
      <c r="AH72" s="493"/>
      <c r="AI72" s="493"/>
      <c r="AJ72" s="493"/>
      <c r="AK72" s="493"/>
      <c r="AL72" s="493"/>
      <c r="AM72" s="493"/>
      <c r="AN72" s="493"/>
      <c r="AO72" s="493"/>
      <c r="AP72" s="493"/>
      <c r="AQ72" s="493"/>
      <c r="AR72" s="493"/>
      <c r="AS72" s="493"/>
      <c r="AT72" s="493"/>
      <c r="AU72" s="493"/>
      <c r="AV72" s="493"/>
      <c r="AW72" s="493"/>
      <c r="AX72" s="493"/>
      <c r="AY72" s="493"/>
      <c r="AZ72" s="493"/>
      <c r="BA72" s="493"/>
      <c r="BB72" s="493"/>
      <c r="BC72" s="493"/>
      <c r="BD72" s="493"/>
      <c r="BE72" s="493"/>
      <c r="BF72" s="493"/>
      <c r="BG72" s="493"/>
      <c r="BH72" s="493"/>
      <c r="BI72" s="493"/>
      <c r="BJ72" s="493"/>
      <c r="BK72" s="493"/>
      <c r="BL72" s="493"/>
      <c r="BM72" s="493"/>
      <c r="BN72" s="493"/>
      <c r="BO72" s="493"/>
      <c r="BP72" s="493"/>
      <c r="BQ72" s="493"/>
      <c r="BR72" s="493"/>
      <c r="BS72" s="493"/>
      <c r="BT72" s="493"/>
      <c r="BU72" s="493"/>
      <c r="BV72" s="493"/>
      <c r="BW72" s="493"/>
      <c r="BX72" s="493"/>
      <c r="BY72" s="493"/>
      <c r="BZ72" s="493"/>
      <c r="CA72" s="493"/>
      <c r="CB72" s="493"/>
      <c r="CC72" s="493"/>
      <c r="CD72" s="493"/>
      <c r="CE72" s="493"/>
      <c r="CF72" s="493"/>
      <c r="CG72" s="493"/>
      <c r="CH72" s="493"/>
      <c r="CI72" s="493"/>
      <c r="CJ72" s="493"/>
      <c r="CK72" s="493"/>
      <c r="CL72" s="493"/>
      <c r="CM72" s="493"/>
      <c r="CN72" s="493"/>
      <c r="CO72" s="493"/>
      <c r="CP72" s="493"/>
      <c r="CQ72" s="493"/>
      <c r="CR72" s="493"/>
      <c r="CS72" s="493"/>
      <c r="CT72" s="493"/>
      <c r="CU72" s="493"/>
      <c r="CV72" s="493"/>
      <c r="CW72" s="493"/>
      <c r="CX72" s="493"/>
      <c r="CY72" s="493"/>
      <c r="CZ72" s="493"/>
      <c r="DA72" s="493"/>
      <c r="DB72" s="493"/>
      <c r="DC72" s="493"/>
      <c r="DD72" s="493"/>
      <c r="DE72" s="493"/>
      <c r="DF72" s="493"/>
      <c r="DG72" s="493"/>
      <c r="DH72" s="493"/>
      <c r="DI72" s="493"/>
      <c r="DJ72" s="493"/>
      <c r="DK72" s="493"/>
      <c r="DL72" s="493"/>
      <c r="DM72" s="493"/>
      <c r="DN72" s="493"/>
      <c r="DO72" s="493"/>
      <c r="DP72" s="493"/>
      <c r="DQ72" s="493"/>
      <c r="DR72" s="493"/>
      <c r="DS72" s="493"/>
      <c r="DT72" s="493"/>
      <c r="DU72" s="493"/>
      <c r="DV72" s="493"/>
      <c r="DW72" s="493"/>
      <c r="DX72" s="493"/>
      <c r="DY72" s="493"/>
      <c r="DZ72" s="493"/>
      <c r="EA72" s="493"/>
      <c r="EB72" s="493"/>
      <c r="EC72" s="493"/>
      <c r="ED72" s="493"/>
      <c r="EE72" s="493"/>
      <c r="EF72" s="493"/>
      <c r="EG72" s="493"/>
      <c r="EH72" s="493"/>
      <c r="EI72" s="493"/>
      <c r="EJ72" s="493"/>
      <c r="EK72" s="493"/>
      <c r="EL72" s="493"/>
      <c r="EM72" s="493"/>
      <c r="EN72" s="493"/>
      <c r="EO72" s="493"/>
      <c r="EP72" s="493"/>
      <c r="EQ72" s="493"/>
      <c r="ER72" s="493"/>
      <c r="ES72" s="493"/>
      <c r="ET72" s="493"/>
      <c r="EU72" s="493"/>
      <c r="EV72" s="493"/>
      <c r="EW72" s="493"/>
      <c r="EX72" s="493"/>
      <c r="EY72" s="493"/>
      <c r="EZ72" s="493"/>
      <c r="FA72" s="493"/>
      <c r="FB72" s="493"/>
      <c r="FC72" s="493"/>
      <c r="FD72" s="493"/>
      <c r="FE72" s="493"/>
      <c r="FF72" s="493"/>
      <c r="FG72" s="493"/>
      <c r="FH72" s="493"/>
      <c r="FI72" s="493"/>
      <c r="FJ72" s="493"/>
      <c r="FK72" s="493"/>
      <c r="FL72" s="493"/>
      <c r="FM72" s="493"/>
      <c r="FN72" s="493"/>
      <c r="FO72" s="493"/>
      <c r="FP72" s="493"/>
      <c r="FQ72" s="493"/>
      <c r="FR72" s="493"/>
      <c r="FS72" s="493"/>
      <c r="FT72" s="493"/>
      <c r="FU72" s="493"/>
      <c r="FV72" s="493"/>
      <c r="FW72" s="493"/>
      <c r="FX72" s="493"/>
      <c r="FY72" s="493"/>
      <c r="FZ72" s="493"/>
      <c r="GA72" s="493"/>
      <c r="GB72" s="493"/>
      <c r="GC72" s="493"/>
      <c r="GD72" s="493"/>
    </row>
    <row r="73" spans="1:186" ht="15" customHeight="1">
      <c r="A73" s="77"/>
      <c r="C73" s="76"/>
      <c r="D73" s="164"/>
      <c r="E73" s="165"/>
      <c r="F73" s="76"/>
      <c r="G73" s="89"/>
      <c r="I73" s="76"/>
      <c r="J73" s="164"/>
      <c r="K73" s="166"/>
      <c r="L73" s="76"/>
      <c r="M73" s="89"/>
      <c r="N73" s="78"/>
      <c r="O73" s="492"/>
      <c r="P73" s="492"/>
      <c r="Q73" s="492"/>
      <c r="R73" s="492"/>
      <c r="S73" s="492"/>
      <c r="T73" s="492"/>
      <c r="U73" s="492"/>
      <c r="V73" s="492"/>
      <c r="W73" s="492"/>
      <c r="X73" s="492"/>
      <c r="Y73" s="492"/>
      <c r="Z73" s="492"/>
      <c r="AA73" s="492"/>
      <c r="AB73" s="492"/>
      <c r="AC73" s="492"/>
      <c r="AD73" s="492"/>
      <c r="AE73" s="492"/>
      <c r="AF73" s="492"/>
      <c r="AG73" s="492"/>
      <c r="AH73" s="493"/>
      <c r="AI73" s="493"/>
      <c r="AJ73" s="493"/>
      <c r="AK73" s="493"/>
      <c r="AL73" s="493"/>
      <c r="AM73" s="493"/>
      <c r="AN73" s="493"/>
      <c r="AO73" s="493"/>
      <c r="AP73" s="493"/>
      <c r="AQ73" s="493"/>
      <c r="AR73" s="493"/>
      <c r="AS73" s="493"/>
      <c r="AT73" s="493"/>
      <c r="AU73" s="493"/>
      <c r="AV73" s="493"/>
      <c r="AW73" s="493"/>
      <c r="AX73" s="493"/>
      <c r="AY73" s="493"/>
      <c r="AZ73" s="493"/>
      <c r="BA73" s="493"/>
      <c r="BB73" s="493"/>
      <c r="BC73" s="493"/>
      <c r="BD73" s="493"/>
      <c r="BE73" s="493"/>
      <c r="BF73" s="493"/>
      <c r="BG73" s="493"/>
      <c r="BH73" s="493"/>
      <c r="BI73" s="493"/>
      <c r="BJ73" s="493"/>
      <c r="BK73" s="493"/>
      <c r="BL73" s="493"/>
      <c r="BM73" s="493"/>
      <c r="BN73" s="493"/>
      <c r="BO73" s="493"/>
      <c r="BP73" s="493"/>
      <c r="BQ73" s="493"/>
      <c r="BR73" s="493"/>
      <c r="BS73" s="493"/>
      <c r="BT73" s="493"/>
      <c r="BU73" s="493"/>
      <c r="BV73" s="493"/>
      <c r="BW73" s="493"/>
      <c r="BX73" s="493"/>
      <c r="BY73" s="493"/>
      <c r="BZ73" s="493"/>
      <c r="CA73" s="493"/>
      <c r="CB73" s="493"/>
      <c r="CC73" s="493"/>
      <c r="CD73" s="493"/>
      <c r="CE73" s="493"/>
      <c r="CF73" s="493"/>
      <c r="CG73" s="493"/>
      <c r="CH73" s="493"/>
      <c r="CI73" s="493"/>
      <c r="CJ73" s="493"/>
      <c r="CK73" s="493"/>
      <c r="CL73" s="493"/>
      <c r="CM73" s="493"/>
      <c r="CN73" s="493"/>
      <c r="CO73" s="493"/>
      <c r="CP73" s="493"/>
      <c r="CQ73" s="493"/>
      <c r="CR73" s="493"/>
      <c r="CS73" s="493"/>
      <c r="CT73" s="493"/>
      <c r="CU73" s="493"/>
      <c r="CV73" s="493"/>
      <c r="CW73" s="493"/>
      <c r="CX73" s="493"/>
      <c r="CY73" s="493"/>
      <c r="CZ73" s="493"/>
      <c r="DA73" s="493"/>
      <c r="DB73" s="493"/>
      <c r="DC73" s="493"/>
      <c r="DD73" s="493"/>
      <c r="DE73" s="493"/>
      <c r="DF73" s="493"/>
      <c r="DG73" s="493"/>
      <c r="DH73" s="493"/>
      <c r="DI73" s="493"/>
      <c r="DJ73" s="493"/>
      <c r="DK73" s="493"/>
      <c r="DL73" s="493"/>
      <c r="DM73" s="493"/>
      <c r="DN73" s="493"/>
      <c r="DO73" s="493"/>
      <c r="DP73" s="493"/>
      <c r="DQ73" s="493"/>
      <c r="DR73" s="493"/>
      <c r="DS73" s="493"/>
      <c r="DT73" s="493"/>
      <c r="DU73" s="493"/>
      <c r="DV73" s="493"/>
      <c r="DW73" s="493"/>
      <c r="DX73" s="493"/>
      <c r="DY73" s="493"/>
      <c r="DZ73" s="493"/>
      <c r="EA73" s="493"/>
      <c r="EB73" s="493"/>
      <c r="EC73" s="493"/>
      <c r="ED73" s="493"/>
      <c r="EE73" s="493"/>
      <c r="EF73" s="493"/>
      <c r="EG73" s="493"/>
      <c r="EH73" s="493"/>
      <c r="EI73" s="493"/>
      <c r="EJ73" s="493"/>
      <c r="EK73" s="493"/>
      <c r="EL73" s="493"/>
      <c r="EM73" s="493"/>
      <c r="EN73" s="493"/>
      <c r="EO73" s="493"/>
      <c r="EP73" s="493"/>
      <c r="EQ73" s="493"/>
      <c r="ER73" s="493"/>
      <c r="ES73" s="493"/>
      <c r="ET73" s="493"/>
      <c r="EU73" s="493"/>
      <c r="EV73" s="493"/>
      <c r="EW73" s="493"/>
      <c r="EX73" s="493"/>
      <c r="EY73" s="493"/>
      <c r="EZ73" s="493"/>
      <c r="FA73" s="493"/>
      <c r="FB73" s="493"/>
      <c r="FC73" s="493"/>
      <c r="FD73" s="493"/>
      <c r="FE73" s="493"/>
      <c r="FF73" s="493"/>
      <c r="FG73" s="493"/>
      <c r="FH73" s="493"/>
      <c r="FI73" s="493"/>
      <c r="FJ73" s="493"/>
      <c r="FK73" s="493"/>
      <c r="FL73" s="493"/>
      <c r="FM73" s="493"/>
      <c r="FN73" s="493"/>
      <c r="FO73" s="493"/>
      <c r="FP73" s="493"/>
      <c r="FQ73" s="493"/>
      <c r="FR73" s="493"/>
      <c r="FS73" s="493"/>
      <c r="FT73" s="493"/>
      <c r="FU73" s="493"/>
      <c r="FV73" s="493"/>
      <c r="FW73" s="493"/>
      <c r="FX73" s="493"/>
      <c r="FY73" s="493"/>
      <c r="FZ73" s="493"/>
      <c r="GA73" s="493"/>
      <c r="GB73" s="493"/>
      <c r="GC73" s="493"/>
      <c r="GD73" s="493"/>
    </row>
    <row r="74" spans="1:186" ht="15" customHeight="1" thickBot="1">
      <c r="A74" s="80"/>
      <c r="B74" s="81"/>
      <c r="C74" s="81"/>
      <c r="D74" s="167">
        <f>M4</f>
        <v>45239</v>
      </c>
      <c r="E74" s="168"/>
      <c r="F74" s="81"/>
      <c r="G74" s="169"/>
      <c r="H74" s="81"/>
      <c r="I74" s="81"/>
      <c r="J74" s="167">
        <f>D74</f>
        <v>45239</v>
      </c>
      <c r="K74" s="170"/>
      <c r="L74" s="81"/>
      <c r="M74" s="169"/>
      <c r="N74" s="167">
        <f>J74</f>
        <v>45239</v>
      </c>
      <c r="O74" s="492"/>
      <c r="P74" s="492"/>
      <c r="Q74" s="492"/>
      <c r="R74" s="492"/>
      <c r="S74" s="492"/>
      <c r="T74" s="492"/>
      <c r="U74" s="492"/>
      <c r="V74" s="492"/>
      <c r="W74" s="492"/>
      <c r="X74" s="492"/>
      <c r="Y74" s="492"/>
      <c r="Z74" s="492"/>
      <c r="AA74" s="492"/>
      <c r="AB74" s="492"/>
      <c r="AC74" s="492"/>
      <c r="AD74" s="492"/>
      <c r="AE74" s="492"/>
      <c r="AF74" s="492"/>
      <c r="AG74" s="492"/>
      <c r="AH74" s="493"/>
      <c r="AI74" s="493"/>
      <c r="AJ74" s="493"/>
      <c r="AK74" s="493"/>
      <c r="AL74" s="493"/>
      <c r="AM74" s="493"/>
      <c r="AN74" s="493"/>
      <c r="AO74" s="493"/>
      <c r="AP74" s="493"/>
      <c r="AQ74" s="493"/>
      <c r="AR74" s="493"/>
      <c r="AS74" s="493"/>
      <c r="AT74" s="493"/>
      <c r="AU74" s="493"/>
      <c r="AV74" s="493"/>
      <c r="AW74" s="493"/>
      <c r="AX74" s="493"/>
      <c r="AY74" s="493"/>
      <c r="AZ74" s="493"/>
      <c r="BA74" s="493"/>
      <c r="BB74" s="493"/>
      <c r="BC74" s="493"/>
      <c r="BD74" s="493"/>
      <c r="BE74" s="493"/>
      <c r="BF74" s="493"/>
      <c r="BG74" s="493"/>
      <c r="BH74" s="493"/>
      <c r="BI74" s="493"/>
      <c r="BJ74" s="493"/>
      <c r="BK74" s="493"/>
      <c r="BL74" s="493"/>
      <c r="BM74" s="493"/>
      <c r="BN74" s="493"/>
      <c r="BO74" s="493"/>
      <c r="BP74" s="493"/>
      <c r="BQ74" s="493"/>
      <c r="BR74" s="493"/>
      <c r="BS74" s="493"/>
      <c r="BT74" s="493"/>
      <c r="BU74" s="493"/>
      <c r="BV74" s="493"/>
      <c r="BW74" s="493"/>
      <c r="BX74" s="493"/>
      <c r="BY74" s="493"/>
      <c r="BZ74" s="493"/>
      <c r="CA74" s="493"/>
      <c r="CB74" s="493"/>
      <c r="CC74" s="493"/>
      <c r="CD74" s="493"/>
      <c r="CE74" s="493"/>
      <c r="CF74" s="493"/>
      <c r="CG74" s="493"/>
      <c r="CH74" s="493"/>
      <c r="CI74" s="493"/>
      <c r="CJ74" s="493"/>
      <c r="CK74" s="493"/>
      <c r="CL74" s="493"/>
      <c r="CM74" s="493"/>
      <c r="CN74" s="493"/>
      <c r="CO74" s="493"/>
      <c r="CP74" s="493"/>
      <c r="CQ74" s="493"/>
      <c r="CR74" s="493"/>
      <c r="CS74" s="493"/>
      <c r="CT74" s="493"/>
      <c r="CU74" s="493"/>
      <c r="CV74" s="493"/>
      <c r="CW74" s="493"/>
      <c r="CX74" s="493"/>
      <c r="CY74" s="493"/>
      <c r="CZ74" s="493"/>
      <c r="DA74" s="493"/>
      <c r="DB74" s="493"/>
      <c r="DC74" s="493"/>
      <c r="DD74" s="493"/>
      <c r="DE74" s="493"/>
      <c r="DF74" s="493"/>
      <c r="DG74" s="493"/>
      <c r="DH74" s="493"/>
      <c r="DI74" s="493"/>
      <c r="DJ74" s="493"/>
      <c r="DK74" s="493"/>
      <c r="DL74" s="493"/>
      <c r="DM74" s="493"/>
      <c r="DN74" s="493"/>
      <c r="DO74" s="493"/>
      <c r="DP74" s="493"/>
      <c r="DQ74" s="493"/>
      <c r="DR74" s="493"/>
      <c r="DS74" s="493"/>
      <c r="DT74" s="493"/>
      <c r="DU74" s="493"/>
      <c r="DV74" s="493"/>
      <c r="DW74" s="493"/>
      <c r="DX74" s="493"/>
      <c r="DY74" s="493"/>
      <c r="DZ74" s="493"/>
      <c r="EA74" s="493"/>
      <c r="EB74" s="493"/>
      <c r="EC74" s="493"/>
      <c r="ED74" s="493"/>
      <c r="EE74" s="493"/>
      <c r="EF74" s="493"/>
      <c r="EG74" s="493"/>
      <c r="EH74" s="493"/>
      <c r="EI74" s="493"/>
      <c r="EJ74" s="493"/>
      <c r="EK74" s="493"/>
      <c r="EL74" s="493"/>
      <c r="EM74" s="493"/>
      <c r="EN74" s="493"/>
      <c r="EO74" s="493"/>
      <c r="EP74" s="493"/>
      <c r="EQ74" s="493"/>
      <c r="ER74" s="493"/>
      <c r="ES74" s="493"/>
      <c r="ET74" s="493"/>
      <c r="EU74" s="493"/>
      <c r="EV74" s="493"/>
      <c r="EW74" s="493"/>
      <c r="EX74" s="493"/>
      <c r="EY74" s="493"/>
      <c r="EZ74" s="493"/>
      <c r="FA74" s="493"/>
      <c r="FB74" s="493"/>
      <c r="FC74" s="493"/>
      <c r="FD74" s="493"/>
      <c r="FE74" s="493"/>
      <c r="FF74" s="493"/>
      <c r="FG74" s="493"/>
      <c r="FH74" s="493"/>
      <c r="FI74" s="493"/>
      <c r="FJ74" s="493"/>
      <c r="FK74" s="493"/>
      <c r="FL74" s="493"/>
      <c r="FM74" s="493"/>
      <c r="FN74" s="493"/>
      <c r="FO74" s="493"/>
      <c r="FP74" s="493"/>
      <c r="FQ74" s="493"/>
      <c r="FR74" s="493"/>
      <c r="FS74" s="493"/>
      <c r="FT74" s="493"/>
      <c r="FU74" s="493"/>
      <c r="FV74" s="493"/>
      <c r="FW74" s="493"/>
      <c r="FX74" s="493"/>
      <c r="FY74" s="493"/>
      <c r="FZ74" s="493"/>
      <c r="GA74" s="493"/>
      <c r="GB74" s="493"/>
      <c r="GC74" s="493"/>
      <c r="GD74" s="493"/>
    </row>
    <row r="75" spans="1:186" ht="20.100000000000001" customHeight="1">
      <c r="A75" s="66"/>
      <c r="B75" s="67"/>
      <c r="C75" s="68"/>
      <c r="D75" s="171"/>
      <c r="E75" s="171"/>
      <c r="F75" s="171"/>
      <c r="G75" s="171"/>
      <c r="H75" s="171"/>
      <c r="I75" s="171"/>
      <c r="J75" s="172"/>
      <c r="K75" s="171"/>
      <c r="L75" s="173"/>
      <c r="M75" s="587"/>
      <c r="N75" s="588"/>
      <c r="O75" s="492"/>
      <c r="P75" s="492"/>
      <c r="Q75" s="492"/>
      <c r="R75" s="492"/>
      <c r="S75" s="492"/>
      <c r="T75" s="492"/>
      <c r="U75" s="492"/>
      <c r="V75" s="492"/>
      <c r="W75" s="492"/>
      <c r="X75" s="492"/>
      <c r="Y75" s="492"/>
      <c r="Z75" s="492"/>
      <c r="AA75" s="492"/>
      <c r="AB75" s="492"/>
      <c r="AC75" s="492"/>
      <c r="AD75" s="492"/>
      <c r="AE75" s="492"/>
      <c r="AF75" s="492"/>
      <c r="AG75" s="492"/>
      <c r="AH75" s="493"/>
      <c r="AI75" s="493"/>
      <c r="AJ75" s="493"/>
      <c r="AK75" s="493"/>
      <c r="AL75" s="493"/>
      <c r="AM75" s="493"/>
      <c r="AN75" s="493"/>
      <c r="AO75" s="493"/>
      <c r="AP75" s="493"/>
      <c r="AQ75" s="493"/>
      <c r="AR75" s="493"/>
      <c r="AS75" s="493"/>
      <c r="AT75" s="493"/>
      <c r="AU75" s="493"/>
      <c r="AV75" s="493"/>
      <c r="AW75" s="493"/>
      <c r="AX75" s="493"/>
      <c r="AY75" s="493"/>
      <c r="AZ75" s="493"/>
      <c r="BA75" s="493"/>
      <c r="BB75" s="493"/>
      <c r="BC75" s="493"/>
      <c r="BD75" s="493"/>
      <c r="BE75" s="493"/>
      <c r="BF75" s="493"/>
      <c r="BG75" s="493"/>
      <c r="BH75" s="493"/>
      <c r="BI75" s="493"/>
      <c r="BJ75" s="493"/>
      <c r="BK75" s="493"/>
      <c r="BL75" s="493"/>
      <c r="BM75" s="493"/>
      <c r="BN75" s="493"/>
      <c r="BO75" s="493"/>
      <c r="BP75" s="493"/>
      <c r="BQ75" s="493"/>
      <c r="BR75" s="493"/>
      <c r="BS75" s="493"/>
      <c r="BT75" s="493"/>
      <c r="BU75" s="493"/>
      <c r="BV75" s="493"/>
      <c r="BW75" s="493"/>
      <c r="BX75" s="493"/>
      <c r="BY75" s="493"/>
      <c r="BZ75" s="493"/>
      <c r="CA75" s="493"/>
      <c r="CB75" s="493"/>
      <c r="CC75" s="493"/>
      <c r="CD75" s="493"/>
      <c r="CE75" s="493"/>
      <c r="CF75" s="493"/>
      <c r="CG75" s="493"/>
      <c r="CH75" s="493"/>
      <c r="CI75" s="493"/>
      <c r="CJ75" s="493"/>
      <c r="CK75" s="493"/>
      <c r="CL75" s="493"/>
      <c r="CM75" s="493"/>
      <c r="CN75" s="493"/>
      <c r="CO75" s="493"/>
      <c r="CP75" s="493"/>
      <c r="CQ75" s="493"/>
      <c r="CR75" s="493"/>
      <c r="CS75" s="493"/>
      <c r="CT75" s="493"/>
      <c r="CU75" s="493"/>
      <c r="CV75" s="493"/>
      <c r="CW75" s="493"/>
      <c r="CX75" s="493"/>
      <c r="CY75" s="493"/>
      <c r="CZ75" s="493"/>
      <c r="DA75" s="493"/>
      <c r="DB75" s="493"/>
      <c r="DC75" s="493"/>
      <c r="DD75" s="493"/>
      <c r="DE75" s="493"/>
      <c r="DF75" s="493"/>
      <c r="DG75" s="493"/>
      <c r="DH75" s="493"/>
      <c r="DI75" s="493"/>
      <c r="DJ75" s="493"/>
      <c r="DK75" s="493"/>
      <c r="DL75" s="493"/>
      <c r="DM75" s="493"/>
      <c r="DN75" s="493"/>
      <c r="DO75" s="493"/>
      <c r="DP75" s="493"/>
      <c r="DQ75" s="493"/>
      <c r="DR75" s="493"/>
      <c r="DS75" s="493"/>
      <c r="DT75" s="493"/>
      <c r="DU75" s="493"/>
      <c r="DV75" s="493"/>
      <c r="DW75" s="493"/>
      <c r="DX75" s="493"/>
      <c r="DY75" s="493"/>
      <c r="DZ75" s="493"/>
      <c r="EA75" s="493"/>
      <c r="EB75" s="493"/>
      <c r="EC75" s="493"/>
      <c r="ED75" s="493"/>
      <c r="EE75" s="493"/>
      <c r="EF75" s="493"/>
      <c r="EG75" s="493"/>
      <c r="EH75" s="493"/>
      <c r="EI75" s="493"/>
      <c r="EJ75" s="493"/>
      <c r="EK75" s="493"/>
      <c r="EL75" s="493"/>
      <c r="EM75" s="493"/>
      <c r="EN75" s="493"/>
      <c r="EO75" s="493"/>
      <c r="EP75" s="493"/>
      <c r="EQ75" s="493"/>
      <c r="ER75" s="493"/>
      <c r="ES75" s="493"/>
      <c r="ET75" s="493"/>
      <c r="EU75" s="493"/>
      <c r="EV75" s="493"/>
      <c r="EW75" s="493"/>
      <c r="EX75" s="493"/>
      <c r="EY75" s="493"/>
      <c r="EZ75" s="493"/>
      <c r="FA75" s="493"/>
      <c r="FB75" s="493"/>
      <c r="FC75" s="493"/>
      <c r="FD75" s="493"/>
      <c r="FE75" s="493"/>
      <c r="FF75" s="493"/>
      <c r="FG75" s="493"/>
      <c r="FH75" s="493"/>
      <c r="FI75" s="493"/>
      <c r="FJ75" s="493"/>
      <c r="FK75" s="493"/>
      <c r="FL75" s="493"/>
      <c r="FM75" s="493"/>
      <c r="FN75" s="493"/>
      <c r="FO75" s="493"/>
      <c r="FP75" s="493"/>
      <c r="FQ75" s="493"/>
      <c r="FR75" s="493"/>
      <c r="FS75" s="493"/>
      <c r="FT75" s="493"/>
      <c r="FU75" s="493"/>
      <c r="FV75" s="493"/>
      <c r="FW75" s="493"/>
      <c r="FX75" s="493"/>
      <c r="FY75" s="493"/>
      <c r="FZ75" s="493"/>
      <c r="GA75" s="493"/>
      <c r="GB75" s="493"/>
      <c r="GC75" s="493"/>
      <c r="GD75" s="493"/>
    </row>
    <row r="76" spans="1:186" ht="20.100000000000001" customHeight="1">
      <c r="A76" s="77"/>
      <c r="C76" s="78"/>
      <c r="D76" s="589" t="str">
        <f>D2</f>
        <v>MAC QT 160 P</v>
      </c>
      <c r="E76" s="590"/>
      <c r="F76" s="590"/>
      <c r="G76" s="590"/>
      <c r="H76" s="590"/>
      <c r="I76" s="590"/>
      <c r="J76" s="590"/>
      <c r="K76" s="591"/>
      <c r="L76" s="174"/>
      <c r="M76" s="592"/>
      <c r="N76" s="593"/>
      <c r="O76" s="492"/>
      <c r="P76" s="492"/>
      <c r="Q76" s="492"/>
      <c r="R76" s="492"/>
      <c r="S76" s="492"/>
      <c r="T76" s="492"/>
      <c r="U76" s="492"/>
      <c r="V76" s="492"/>
      <c r="W76" s="492"/>
      <c r="X76" s="492"/>
      <c r="Y76" s="492"/>
      <c r="Z76" s="492"/>
      <c r="AA76" s="492"/>
      <c r="AB76" s="492"/>
      <c r="AC76" s="492"/>
      <c r="AD76" s="492"/>
      <c r="AE76" s="492"/>
      <c r="AF76" s="492"/>
      <c r="AG76" s="492"/>
      <c r="AH76" s="493"/>
      <c r="AI76" s="493"/>
      <c r="AJ76" s="493"/>
      <c r="AK76" s="493"/>
      <c r="AL76" s="493"/>
      <c r="AM76" s="493"/>
      <c r="AN76" s="493"/>
      <c r="AO76" s="493"/>
      <c r="AP76" s="493"/>
      <c r="AQ76" s="493"/>
      <c r="AR76" s="493"/>
      <c r="AS76" s="493"/>
      <c r="AT76" s="493"/>
      <c r="AU76" s="493"/>
      <c r="AV76" s="493"/>
      <c r="AW76" s="493"/>
      <c r="AX76" s="493"/>
      <c r="AY76" s="493"/>
      <c r="AZ76" s="493"/>
      <c r="BA76" s="493"/>
      <c r="BB76" s="493"/>
      <c r="BC76" s="493"/>
      <c r="BD76" s="493"/>
      <c r="BE76" s="493"/>
      <c r="BF76" s="493"/>
      <c r="BG76" s="493"/>
      <c r="BH76" s="493"/>
      <c r="BI76" s="493"/>
      <c r="BJ76" s="493"/>
      <c r="BK76" s="493"/>
      <c r="BL76" s="493"/>
      <c r="BM76" s="493"/>
      <c r="BN76" s="493"/>
      <c r="BO76" s="493"/>
      <c r="BP76" s="493"/>
      <c r="BQ76" s="493"/>
      <c r="BR76" s="493"/>
      <c r="BS76" s="493"/>
      <c r="BT76" s="493"/>
      <c r="BU76" s="493"/>
      <c r="BV76" s="493"/>
      <c r="BW76" s="493"/>
      <c r="BX76" s="493"/>
      <c r="BY76" s="493"/>
      <c r="BZ76" s="493"/>
      <c r="CA76" s="493"/>
      <c r="CB76" s="493"/>
      <c r="CC76" s="493"/>
      <c r="CD76" s="493"/>
      <c r="CE76" s="493"/>
      <c r="CF76" s="493"/>
      <c r="CG76" s="493"/>
      <c r="CH76" s="493"/>
      <c r="CI76" s="493"/>
      <c r="CJ76" s="493"/>
      <c r="CK76" s="493"/>
      <c r="CL76" s="493"/>
      <c r="CM76" s="493"/>
      <c r="CN76" s="493"/>
      <c r="CO76" s="493"/>
      <c r="CP76" s="493"/>
      <c r="CQ76" s="493"/>
      <c r="CR76" s="493"/>
      <c r="CS76" s="493"/>
      <c r="CT76" s="493"/>
      <c r="CU76" s="493"/>
      <c r="CV76" s="493"/>
      <c r="CW76" s="493"/>
      <c r="CX76" s="493"/>
      <c r="CY76" s="493"/>
      <c r="CZ76" s="493"/>
      <c r="DA76" s="493"/>
      <c r="DB76" s="493"/>
      <c r="DC76" s="493"/>
      <c r="DD76" s="493"/>
      <c r="DE76" s="493"/>
      <c r="DF76" s="493"/>
      <c r="DG76" s="493"/>
      <c r="DH76" s="493"/>
      <c r="DI76" s="493"/>
      <c r="DJ76" s="493"/>
      <c r="DK76" s="493"/>
      <c r="DL76" s="493"/>
      <c r="DM76" s="493"/>
      <c r="DN76" s="493"/>
      <c r="DO76" s="493"/>
      <c r="DP76" s="493"/>
      <c r="DQ76" s="493"/>
      <c r="DR76" s="493"/>
      <c r="DS76" s="493"/>
      <c r="DT76" s="493"/>
      <c r="DU76" s="493"/>
      <c r="DV76" s="493"/>
      <c r="DW76" s="493"/>
      <c r="DX76" s="493"/>
      <c r="DY76" s="493"/>
      <c r="DZ76" s="493"/>
      <c r="EA76" s="493"/>
      <c r="EB76" s="493"/>
      <c r="EC76" s="493"/>
      <c r="ED76" s="493"/>
      <c r="EE76" s="493"/>
      <c r="EF76" s="493"/>
      <c r="EG76" s="493"/>
      <c r="EH76" s="493"/>
      <c r="EI76" s="493"/>
      <c r="EJ76" s="493"/>
      <c r="EK76" s="493"/>
      <c r="EL76" s="493"/>
      <c r="EM76" s="493"/>
      <c r="EN76" s="493"/>
      <c r="EO76" s="493"/>
      <c r="EP76" s="493"/>
      <c r="EQ76" s="493"/>
      <c r="ER76" s="493"/>
      <c r="ES76" s="493"/>
      <c r="ET76" s="493"/>
      <c r="EU76" s="493"/>
      <c r="EV76" s="493"/>
      <c r="EW76" s="493"/>
      <c r="EX76" s="493"/>
      <c r="EY76" s="493"/>
      <c r="EZ76" s="493"/>
      <c r="FA76" s="493"/>
      <c r="FB76" s="493"/>
      <c r="FC76" s="493"/>
      <c r="FD76" s="493"/>
      <c r="FE76" s="493"/>
      <c r="FF76" s="493"/>
      <c r="FG76" s="493"/>
      <c r="FH76" s="493"/>
      <c r="FI76" s="493"/>
      <c r="FJ76" s="493"/>
      <c r="FK76" s="493"/>
      <c r="FL76" s="493"/>
      <c r="FM76" s="493"/>
      <c r="FN76" s="493"/>
      <c r="FO76" s="493"/>
      <c r="FP76" s="493"/>
      <c r="FQ76" s="493"/>
      <c r="FR76" s="493"/>
      <c r="FS76" s="493"/>
      <c r="FT76" s="493"/>
      <c r="FU76" s="493"/>
      <c r="FV76" s="493"/>
      <c r="FW76" s="493"/>
      <c r="FX76" s="493"/>
      <c r="FY76" s="493"/>
      <c r="FZ76" s="493"/>
      <c r="GA76" s="493"/>
      <c r="GB76" s="493"/>
      <c r="GC76" s="493"/>
      <c r="GD76" s="493"/>
    </row>
    <row r="77" spans="1:186" ht="20.100000000000001" customHeight="1">
      <c r="A77" s="77"/>
      <c r="C77" s="78"/>
      <c r="D77" s="594" t="s">
        <v>104</v>
      </c>
      <c r="E77" s="595"/>
      <c r="F77" s="595"/>
      <c r="G77" s="595"/>
      <c r="H77" s="595"/>
      <c r="I77" s="595"/>
      <c r="J77" s="595"/>
      <c r="K77" s="596"/>
      <c r="L77" s="174" t="s">
        <v>105</v>
      </c>
      <c r="M77" s="597" t="s">
        <v>106</v>
      </c>
      <c r="N77" s="593"/>
      <c r="O77" s="492"/>
      <c r="P77" s="492"/>
      <c r="Q77" s="492"/>
      <c r="R77" s="492"/>
      <c r="S77" s="492"/>
      <c r="T77" s="492"/>
      <c r="U77" s="492"/>
      <c r="V77" s="492"/>
      <c r="W77" s="492"/>
      <c r="X77" s="492"/>
      <c r="Y77" s="492"/>
      <c r="Z77" s="492"/>
      <c r="AA77" s="492"/>
      <c r="AB77" s="492"/>
      <c r="AC77" s="492"/>
      <c r="AD77" s="492"/>
      <c r="AE77" s="492"/>
      <c r="AF77" s="492"/>
      <c r="AG77" s="492"/>
      <c r="AH77" s="493"/>
      <c r="AI77" s="493"/>
      <c r="AJ77" s="493"/>
      <c r="AK77" s="493"/>
      <c r="AL77" s="493"/>
      <c r="AM77" s="493"/>
      <c r="AN77" s="493"/>
      <c r="AO77" s="493"/>
      <c r="AP77" s="493"/>
      <c r="AQ77" s="493"/>
      <c r="AR77" s="493"/>
      <c r="AS77" s="493"/>
      <c r="AT77" s="493"/>
      <c r="AU77" s="493"/>
      <c r="AV77" s="493"/>
      <c r="AW77" s="493"/>
      <c r="AX77" s="493"/>
      <c r="AY77" s="493"/>
      <c r="AZ77" s="493"/>
      <c r="BA77" s="493"/>
      <c r="BB77" s="493"/>
      <c r="BC77" s="493"/>
      <c r="BD77" s="493"/>
      <c r="BE77" s="493"/>
      <c r="BF77" s="493"/>
      <c r="BG77" s="493"/>
      <c r="BH77" s="493"/>
      <c r="BI77" s="493"/>
      <c r="BJ77" s="493"/>
      <c r="BK77" s="493"/>
      <c r="BL77" s="493"/>
      <c r="BM77" s="493"/>
      <c r="BN77" s="493"/>
      <c r="BO77" s="493"/>
      <c r="BP77" s="493"/>
      <c r="BQ77" s="493"/>
      <c r="BR77" s="493"/>
      <c r="BS77" s="493"/>
      <c r="BT77" s="493"/>
      <c r="BU77" s="493"/>
      <c r="BV77" s="493"/>
      <c r="BW77" s="493"/>
      <c r="BX77" s="493"/>
      <c r="BY77" s="493"/>
      <c r="BZ77" s="493"/>
      <c r="CA77" s="493"/>
      <c r="CB77" s="493"/>
      <c r="CC77" s="493"/>
      <c r="CD77" s="493"/>
      <c r="CE77" s="493"/>
      <c r="CF77" s="493"/>
      <c r="CG77" s="493"/>
      <c r="CH77" s="493"/>
      <c r="CI77" s="493"/>
      <c r="CJ77" s="493"/>
      <c r="CK77" s="493"/>
      <c r="CL77" s="493"/>
      <c r="CM77" s="493"/>
      <c r="CN77" s="493"/>
      <c r="CO77" s="493"/>
      <c r="CP77" s="493"/>
      <c r="CQ77" s="493"/>
      <c r="CR77" s="493"/>
      <c r="CS77" s="493"/>
      <c r="CT77" s="493"/>
      <c r="CU77" s="493"/>
      <c r="CV77" s="493"/>
      <c r="CW77" s="493"/>
      <c r="CX77" s="493"/>
      <c r="CY77" s="493"/>
      <c r="CZ77" s="493"/>
      <c r="DA77" s="493"/>
      <c r="DB77" s="493"/>
      <c r="DC77" s="493"/>
      <c r="DD77" s="493"/>
      <c r="DE77" s="493"/>
      <c r="DF77" s="493"/>
      <c r="DG77" s="493"/>
      <c r="DH77" s="493"/>
      <c r="DI77" s="493"/>
      <c r="DJ77" s="493"/>
      <c r="DK77" s="493"/>
      <c r="DL77" s="493"/>
      <c r="DM77" s="493"/>
      <c r="DN77" s="493"/>
      <c r="DO77" s="493"/>
      <c r="DP77" s="493"/>
      <c r="DQ77" s="493"/>
      <c r="DR77" s="493"/>
      <c r="DS77" s="493"/>
      <c r="DT77" s="493"/>
      <c r="DU77" s="493"/>
      <c r="DV77" s="493"/>
      <c r="DW77" s="493"/>
      <c r="DX77" s="493"/>
      <c r="DY77" s="493"/>
      <c r="DZ77" s="493"/>
      <c r="EA77" s="493"/>
      <c r="EB77" s="493"/>
      <c r="EC77" s="493"/>
      <c r="ED77" s="493"/>
      <c r="EE77" s="493"/>
      <c r="EF77" s="493"/>
      <c r="EG77" s="493"/>
      <c r="EH77" s="493"/>
      <c r="EI77" s="493"/>
      <c r="EJ77" s="493"/>
      <c r="EK77" s="493"/>
      <c r="EL77" s="493"/>
      <c r="EM77" s="493"/>
      <c r="EN77" s="493"/>
      <c r="EO77" s="493"/>
      <c r="EP77" s="493"/>
      <c r="EQ77" s="493"/>
      <c r="ER77" s="493"/>
      <c r="ES77" s="493"/>
      <c r="ET77" s="493"/>
      <c r="EU77" s="493"/>
      <c r="EV77" s="493"/>
      <c r="EW77" s="493"/>
      <c r="EX77" s="493"/>
      <c r="EY77" s="493"/>
      <c r="EZ77" s="493"/>
      <c r="FA77" s="493"/>
      <c r="FB77" s="493"/>
      <c r="FC77" s="493"/>
      <c r="FD77" s="493"/>
      <c r="FE77" s="493"/>
      <c r="FF77" s="493"/>
      <c r="FG77" s="493"/>
      <c r="FH77" s="493"/>
      <c r="FI77" s="493"/>
      <c r="FJ77" s="493"/>
      <c r="FK77" s="493"/>
      <c r="FL77" s="493"/>
      <c r="FM77" s="493"/>
      <c r="FN77" s="493"/>
      <c r="FO77" s="493"/>
      <c r="FP77" s="493"/>
      <c r="FQ77" s="493"/>
      <c r="FR77" s="493"/>
      <c r="FS77" s="493"/>
      <c r="FT77" s="493"/>
      <c r="FU77" s="493"/>
      <c r="FV77" s="493"/>
      <c r="FW77" s="493"/>
      <c r="FX77" s="493"/>
      <c r="FY77" s="493"/>
      <c r="FZ77" s="493"/>
      <c r="GA77" s="493"/>
      <c r="GB77" s="493"/>
      <c r="GC77" s="493"/>
      <c r="GD77" s="493"/>
    </row>
    <row r="78" spans="1:186" ht="20.100000000000001" customHeight="1">
      <c r="A78" s="77"/>
      <c r="C78" s="78"/>
      <c r="D78" s="572" t="s">
        <v>107</v>
      </c>
      <c r="E78" s="573"/>
      <c r="F78" s="573"/>
      <c r="G78" s="573"/>
      <c r="H78" s="573"/>
      <c r="I78" s="573"/>
      <c r="J78" s="573"/>
      <c r="K78" s="574"/>
      <c r="L78" s="174" t="s">
        <v>13</v>
      </c>
      <c r="M78" s="575">
        <f>M4</f>
        <v>45239</v>
      </c>
      <c r="N78" s="576"/>
      <c r="O78" s="492"/>
      <c r="P78" s="492"/>
      <c r="Q78" s="492"/>
      <c r="R78" s="492"/>
      <c r="S78" s="492"/>
      <c r="T78" s="492"/>
      <c r="U78" s="492"/>
      <c r="V78" s="492"/>
      <c r="W78" s="492"/>
      <c r="X78" s="492"/>
      <c r="Y78" s="492"/>
      <c r="Z78" s="492"/>
      <c r="AA78" s="492"/>
      <c r="AB78" s="492"/>
      <c r="AC78" s="492"/>
      <c r="AD78" s="492"/>
      <c r="AE78" s="492"/>
      <c r="AF78" s="492"/>
      <c r="AG78" s="492"/>
      <c r="AH78" s="493"/>
      <c r="AI78" s="493"/>
      <c r="AJ78" s="493"/>
      <c r="AK78" s="493"/>
      <c r="AL78" s="493"/>
      <c r="AM78" s="493"/>
      <c r="AN78" s="493"/>
      <c r="AO78" s="493"/>
      <c r="AP78" s="493"/>
      <c r="AQ78" s="493"/>
      <c r="AR78" s="493"/>
      <c r="AS78" s="493"/>
      <c r="AT78" s="493"/>
      <c r="AU78" s="493"/>
      <c r="AV78" s="493"/>
      <c r="AW78" s="493"/>
      <c r="AX78" s="493"/>
      <c r="AY78" s="493"/>
      <c r="AZ78" s="493"/>
      <c r="BA78" s="493"/>
      <c r="BB78" s="493"/>
      <c r="BC78" s="493"/>
      <c r="BD78" s="493"/>
      <c r="BE78" s="493"/>
      <c r="BF78" s="493"/>
      <c r="BG78" s="493"/>
      <c r="BH78" s="493"/>
      <c r="BI78" s="493"/>
      <c r="BJ78" s="493"/>
      <c r="BK78" s="493"/>
      <c r="BL78" s="493"/>
      <c r="BM78" s="493"/>
      <c r="BN78" s="493"/>
      <c r="BO78" s="493"/>
      <c r="BP78" s="493"/>
      <c r="BQ78" s="493"/>
      <c r="BR78" s="493"/>
      <c r="BS78" s="493"/>
      <c r="BT78" s="493"/>
      <c r="BU78" s="493"/>
      <c r="BV78" s="493"/>
      <c r="BW78" s="493"/>
      <c r="BX78" s="493"/>
      <c r="BY78" s="493"/>
      <c r="BZ78" s="493"/>
      <c r="CA78" s="493"/>
      <c r="CB78" s="493"/>
      <c r="CC78" s="493"/>
      <c r="CD78" s="493"/>
      <c r="CE78" s="493"/>
      <c r="CF78" s="493"/>
      <c r="CG78" s="493"/>
      <c r="CH78" s="493"/>
      <c r="CI78" s="493"/>
      <c r="CJ78" s="493"/>
      <c r="CK78" s="493"/>
      <c r="CL78" s="493"/>
      <c r="CM78" s="493"/>
      <c r="CN78" s="493"/>
      <c r="CO78" s="493"/>
      <c r="CP78" s="493"/>
      <c r="CQ78" s="493"/>
      <c r="CR78" s="493"/>
      <c r="CS78" s="493"/>
      <c r="CT78" s="493"/>
      <c r="CU78" s="493"/>
      <c r="CV78" s="493"/>
      <c r="CW78" s="493"/>
      <c r="CX78" s="493"/>
      <c r="CY78" s="493"/>
      <c r="CZ78" s="493"/>
      <c r="DA78" s="493"/>
      <c r="DB78" s="493"/>
      <c r="DC78" s="493"/>
      <c r="DD78" s="493"/>
      <c r="DE78" s="493"/>
      <c r="DF78" s="493"/>
      <c r="DG78" s="493"/>
      <c r="DH78" s="493"/>
      <c r="DI78" s="493"/>
      <c r="DJ78" s="493"/>
      <c r="DK78" s="493"/>
      <c r="DL78" s="493"/>
      <c r="DM78" s="493"/>
      <c r="DN78" s="493"/>
      <c r="DO78" s="493"/>
      <c r="DP78" s="493"/>
      <c r="DQ78" s="493"/>
      <c r="DR78" s="493"/>
      <c r="DS78" s="493"/>
      <c r="DT78" s="493"/>
      <c r="DU78" s="493"/>
      <c r="DV78" s="493"/>
      <c r="DW78" s="493"/>
      <c r="DX78" s="493"/>
      <c r="DY78" s="493"/>
      <c r="DZ78" s="493"/>
      <c r="EA78" s="493"/>
      <c r="EB78" s="493"/>
      <c r="EC78" s="493"/>
      <c r="ED78" s="493"/>
      <c r="EE78" s="493"/>
      <c r="EF78" s="493"/>
      <c r="EG78" s="493"/>
      <c r="EH78" s="493"/>
      <c r="EI78" s="493"/>
      <c r="EJ78" s="493"/>
      <c r="EK78" s="493"/>
      <c r="EL78" s="493"/>
      <c r="EM78" s="493"/>
      <c r="EN78" s="493"/>
      <c r="EO78" s="493"/>
      <c r="EP78" s="493"/>
      <c r="EQ78" s="493"/>
      <c r="ER78" s="493"/>
      <c r="ES78" s="493"/>
      <c r="ET78" s="493"/>
      <c r="EU78" s="493"/>
      <c r="EV78" s="493"/>
      <c r="EW78" s="493"/>
      <c r="EX78" s="493"/>
      <c r="EY78" s="493"/>
      <c r="EZ78" s="493"/>
      <c r="FA78" s="493"/>
      <c r="FB78" s="493"/>
      <c r="FC78" s="493"/>
      <c r="FD78" s="493"/>
      <c r="FE78" s="493"/>
      <c r="FF78" s="493"/>
      <c r="FG78" s="493"/>
      <c r="FH78" s="493"/>
      <c r="FI78" s="493"/>
      <c r="FJ78" s="493"/>
      <c r="FK78" s="493"/>
      <c r="FL78" s="493"/>
      <c r="FM78" s="493"/>
      <c r="FN78" s="493"/>
      <c r="FO78" s="493"/>
      <c r="FP78" s="493"/>
      <c r="FQ78" s="493"/>
      <c r="FR78" s="493"/>
      <c r="FS78" s="493"/>
      <c r="FT78" s="493"/>
      <c r="FU78" s="493"/>
      <c r="FV78" s="493"/>
      <c r="FW78" s="493"/>
      <c r="FX78" s="493"/>
      <c r="FY78" s="493"/>
      <c r="FZ78" s="493"/>
      <c r="GA78" s="493"/>
      <c r="GB78" s="493"/>
      <c r="GC78" s="493"/>
      <c r="GD78" s="493"/>
    </row>
    <row r="79" spans="1:186" ht="20.100000000000001" customHeight="1" thickBot="1">
      <c r="A79" s="80"/>
      <c r="B79" s="81"/>
      <c r="C79" s="82"/>
      <c r="D79" s="175"/>
      <c r="E79" s="175"/>
      <c r="F79" s="175"/>
      <c r="G79" s="175"/>
      <c r="H79" s="175"/>
      <c r="I79" s="175"/>
      <c r="J79" s="176"/>
      <c r="K79" s="175"/>
      <c r="L79" s="177"/>
      <c r="M79" s="580"/>
      <c r="N79" s="581"/>
      <c r="O79" s="492"/>
      <c r="P79" s="492"/>
      <c r="Q79" s="492"/>
      <c r="R79" s="492"/>
      <c r="S79" s="492"/>
      <c r="T79" s="492"/>
      <c r="U79" s="492"/>
      <c r="V79" s="492"/>
      <c r="W79" s="492"/>
      <c r="X79" s="492"/>
      <c r="Y79" s="492"/>
      <c r="Z79" s="492"/>
      <c r="AA79" s="492"/>
      <c r="AB79" s="492"/>
      <c r="AC79" s="492"/>
      <c r="AD79" s="492"/>
      <c r="AE79" s="492"/>
      <c r="AF79" s="492"/>
      <c r="AG79" s="492"/>
      <c r="AH79" s="493"/>
      <c r="AI79" s="493"/>
      <c r="AJ79" s="493"/>
      <c r="AK79" s="493"/>
      <c r="AL79" s="493"/>
      <c r="AM79" s="493"/>
      <c r="AN79" s="493"/>
      <c r="AO79" s="493"/>
      <c r="AP79" s="493"/>
      <c r="AQ79" s="493"/>
      <c r="AR79" s="493"/>
      <c r="AS79" s="493"/>
      <c r="AT79" s="493"/>
      <c r="AU79" s="493"/>
      <c r="AV79" s="493"/>
      <c r="AW79" s="493"/>
      <c r="AX79" s="493"/>
      <c r="AY79" s="493"/>
      <c r="AZ79" s="493"/>
      <c r="BA79" s="493"/>
      <c r="BB79" s="493"/>
      <c r="BC79" s="493"/>
      <c r="BD79" s="493"/>
      <c r="BE79" s="493"/>
      <c r="BF79" s="493"/>
      <c r="BG79" s="493"/>
      <c r="BH79" s="493"/>
      <c r="BI79" s="493"/>
      <c r="BJ79" s="493"/>
      <c r="BK79" s="493"/>
      <c r="BL79" s="493"/>
      <c r="BM79" s="493"/>
      <c r="BN79" s="493"/>
      <c r="BO79" s="493"/>
      <c r="BP79" s="493"/>
      <c r="BQ79" s="493"/>
      <c r="BR79" s="493"/>
      <c r="BS79" s="493"/>
      <c r="BT79" s="493"/>
      <c r="BU79" s="493"/>
      <c r="BV79" s="493"/>
      <c r="BW79" s="493"/>
      <c r="BX79" s="493"/>
      <c r="BY79" s="493"/>
      <c r="BZ79" s="493"/>
      <c r="CA79" s="493"/>
      <c r="CB79" s="493"/>
      <c r="CC79" s="493"/>
      <c r="CD79" s="493"/>
      <c r="CE79" s="493"/>
      <c r="CF79" s="493"/>
      <c r="CG79" s="493"/>
      <c r="CH79" s="493"/>
      <c r="CI79" s="493"/>
      <c r="CJ79" s="493"/>
      <c r="CK79" s="493"/>
      <c r="CL79" s="493"/>
      <c r="CM79" s="493"/>
      <c r="CN79" s="493"/>
      <c r="CO79" s="493"/>
      <c r="CP79" s="493"/>
      <c r="CQ79" s="493"/>
      <c r="CR79" s="493"/>
      <c r="CS79" s="493"/>
      <c r="CT79" s="493"/>
      <c r="CU79" s="493"/>
      <c r="CV79" s="493"/>
      <c r="CW79" s="493"/>
      <c r="CX79" s="493"/>
      <c r="CY79" s="493"/>
      <c r="CZ79" s="493"/>
      <c r="DA79" s="493"/>
      <c r="DB79" s="493"/>
      <c r="DC79" s="493"/>
      <c r="DD79" s="493"/>
      <c r="DE79" s="493"/>
      <c r="DF79" s="493"/>
      <c r="DG79" s="493"/>
      <c r="DH79" s="493"/>
      <c r="DI79" s="493"/>
      <c r="DJ79" s="493"/>
      <c r="DK79" s="493"/>
      <c r="DL79" s="493"/>
      <c r="DM79" s="493"/>
      <c r="DN79" s="493"/>
      <c r="DO79" s="493"/>
      <c r="DP79" s="493"/>
      <c r="DQ79" s="493"/>
      <c r="DR79" s="493"/>
      <c r="DS79" s="493"/>
      <c r="DT79" s="493"/>
      <c r="DU79" s="493"/>
      <c r="DV79" s="493"/>
      <c r="DW79" s="493"/>
      <c r="DX79" s="493"/>
      <c r="DY79" s="493"/>
      <c r="DZ79" s="493"/>
      <c r="EA79" s="493"/>
      <c r="EB79" s="493"/>
      <c r="EC79" s="493"/>
      <c r="ED79" s="493"/>
      <c r="EE79" s="493"/>
      <c r="EF79" s="493"/>
      <c r="EG79" s="493"/>
      <c r="EH79" s="493"/>
      <c r="EI79" s="493"/>
      <c r="EJ79" s="493"/>
      <c r="EK79" s="493"/>
      <c r="EL79" s="493"/>
      <c r="EM79" s="493"/>
      <c r="EN79" s="493"/>
      <c r="EO79" s="493"/>
      <c r="EP79" s="493"/>
      <c r="EQ79" s="493"/>
      <c r="ER79" s="493"/>
      <c r="ES79" s="493"/>
      <c r="ET79" s="493"/>
      <c r="EU79" s="493"/>
      <c r="EV79" s="493"/>
      <c r="EW79" s="493"/>
      <c r="EX79" s="493"/>
      <c r="EY79" s="493"/>
      <c r="EZ79" s="493"/>
      <c r="FA79" s="493"/>
      <c r="FB79" s="493"/>
      <c r="FC79" s="493"/>
      <c r="FD79" s="493"/>
      <c r="FE79" s="493"/>
      <c r="FF79" s="493"/>
      <c r="FG79" s="493"/>
      <c r="FH79" s="493"/>
      <c r="FI79" s="493"/>
      <c r="FJ79" s="493"/>
      <c r="FK79" s="493"/>
      <c r="FL79" s="493"/>
      <c r="FM79" s="493"/>
      <c r="FN79" s="493"/>
      <c r="FO79" s="493"/>
      <c r="FP79" s="493"/>
      <c r="FQ79" s="493"/>
      <c r="FR79" s="493"/>
      <c r="FS79" s="493"/>
      <c r="FT79" s="493"/>
      <c r="FU79" s="493"/>
      <c r="FV79" s="493"/>
      <c r="FW79" s="493"/>
      <c r="FX79" s="493"/>
      <c r="FY79" s="493"/>
      <c r="FZ79" s="493"/>
      <c r="GA79" s="493"/>
      <c r="GB79" s="493"/>
      <c r="GC79" s="493"/>
      <c r="GD79" s="493"/>
    </row>
    <row r="80" spans="1:186" ht="20.100000000000001" customHeight="1" thickBot="1">
      <c r="C80" s="76"/>
      <c r="D80" s="76"/>
      <c r="F80" s="76"/>
      <c r="I80" s="76"/>
      <c r="J80" s="76"/>
      <c r="L80" s="76"/>
      <c r="O80" s="517"/>
      <c r="P80" s="492"/>
      <c r="Q80" s="492"/>
      <c r="R80" s="492"/>
      <c r="S80" s="518"/>
      <c r="T80" s="492"/>
      <c r="U80" s="492"/>
      <c r="V80" s="492"/>
      <c r="W80" s="492"/>
      <c r="X80" s="492"/>
      <c r="Y80" s="492"/>
      <c r="Z80" s="492"/>
      <c r="AA80" s="492"/>
      <c r="AB80" s="492"/>
      <c r="AC80" s="492"/>
      <c r="AD80" s="492"/>
      <c r="AE80" s="492"/>
      <c r="AF80" s="492"/>
      <c r="AG80" s="492"/>
      <c r="AH80" s="493"/>
      <c r="AI80" s="493"/>
      <c r="AJ80" s="493"/>
      <c r="AK80" s="493"/>
      <c r="AL80" s="493"/>
      <c r="AM80" s="493"/>
      <c r="AN80" s="493"/>
      <c r="AO80" s="493"/>
      <c r="AP80" s="493"/>
      <c r="AQ80" s="493"/>
      <c r="AR80" s="493"/>
      <c r="AS80" s="493"/>
      <c r="AT80" s="493"/>
      <c r="AU80" s="493"/>
      <c r="AV80" s="493"/>
      <c r="AW80" s="493"/>
      <c r="AX80" s="493"/>
      <c r="AY80" s="493"/>
      <c r="AZ80" s="493"/>
      <c r="BA80" s="493"/>
      <c r="BB80" s="493"/>
      <c r="BC80" s="493"/>
      <c r="BD80" s="493"/>
      <c r="BE80" s="493"/>
      <c r="BF80" s="493"/>
      <c r="BG80" s="493"/>
      <c r="BH80" s="493"/>
      <c r="BI80" s="493"/>
      <c r="BJ80" s="493"/>
      <c r="BK80" s="493"/>
      <c r="BL80" s="493"/>
      <c r="BM80" s="493"/>
      <c r="BN80" s="493"/>
      <c r="BO80" s="493"/>
      <c r="BP80" s="493"/>
      <c r="BQ80" s="493"/>
      <c r="BR80" s="493"/>
      <c r="BS80" s="493"/>
      <c r="BT80" s="493"/>
      <c r="BU80" s="493"/>
      <c r="BV80" s="493"/>
      <c r="BW80" s="493"/>
      <c r="BX80" s="493"/>
      <c r="BY80" s="493"/>
      <c r="BZ80" s="493"/>
      <c r="CA80" s="493"/>
      <c r="CB80" s="493"/>
      <c r="CC80" s="493"/>
      <c r="CD80" s="493"/>
      <c r="CE80" s="493"/>
      <c r="CF80" s="493"/>
      <c r="CG80" s="493"/>
      <c r="CH80" s="493"/>
      <c r="CI80" s="493"/>
      <c r="CJ80" s="493"/>
      <c r="CK80" s="493"/>
      <c r="CL80" s="493"/>
      <c r="CM80" s="493"/>
      <c r="CN80" s="493"/>
      <c r="CO80" s="493"/>
      <c r="CP80" s="493"/>
      <c r="CQ80" s="493"/>
      <c r="CR80" s="493"/>
      <c r="CS80" s="493"/>
      <c r="CT80" s="493"/>
      <c r="CU80" s="493"/>
      <c r="CV80" s="493"/>
      <c r="CW80" s="493"/>
      <c r="CX80" s="493"/>
      <c r="CY80" s="493"/>
      <c r="CZ80" s="493"/>
      <c r="DA80" s="493"/>
      <c r="DB80" s="493"/>
      <c r="DC80" s="493"/>
      <c r="DD80" s="493"/>
      <c r="DE80" s="493"/>
      <c r="DF80" s="493"/>
      <c r="DG80" s="493"/>
      <c r="DH80" s="493"/>
      <c r="DI80" s="493"/>
      <c r="DJ80" s="493"/>
      <c r="DK80" s="493"/>
      <c r="DL80" s="493"/>
      <c r="DM80" s="493"/>
      <c r="DN80" s="493"/>
      <c r="DO80" s="493"/>
      <c r="DP80" s="493"/>
      <c r="DQ80" s="493"/>
      <c r="DR80" s="493"/>
      <c r="DS80" s="493"/>
      <c r="DT80" s="493"/>
      <c r="DU80" s="493"/>
      <c r="DV80" s="493"/>
      <c r="DW80" s="493"/>
      <c r="DX80" s="493"/>
      <c r="DY80" s="493"/>
      <c r="DZ80" s="493"/>
      <c r="EA80" s="493"/>
      <c r="EB80" s="493"/>
      <c r="EC80" s="493"/>
      <c r="ED80" s="493"/>
      <c r="EE80" s="493"/>
      <c r="EF80" s="493"/>
      <c r="EG80" s="493"/>
      <c r="EH80" s="493"/>
      <c r="EI80" s="493"/>
      <c r="EJ80" s="493"/>
      <c r="EK80" s="493"/>
      <c r="EL80" s="493"/>
      <c r="EM80" s="493"/>
      <c r="EN80" s="493"/>
      <c r="EO80" s="493"/>
      <c r="EP80" s="493"/>
      <c r="EQ80" s="493"/>
      <c r="ER80" s="493"/>
      <c r="ES80" s="493"/>
      <c r="ET80" s="493"/>
      <c r="EU80" s="493"/>
      <c r="EV80" s="493"/>
      <c r="EW80" s="493"/>
      <c r="EX80" s="493"/>
      <c r="EY80" s="493"/>
      <c r="EZ80" s="493"/>
      <c r="FA80" s="493"/>
      <c r="FB80" s="493"/>
      <c r="FC80" s="493"/>
      <c r="FD80" s="493"/>
      <c r="FE80" s="493"/>
      <c r="FF80" s="493"/>
      <c r="FG80" s="493"/>
      <c r="FH80" s="493"/>
      <c r="FI80" s="493"/>
      <c r="FJ80" s="493"/>
      <c r="FK80" s="493"/>
      <c r="FL80" s="493"/>
      <c r="FM80" s="493"/>
      <c r="FN80" s="493"/>
      <c r="FO80" s="493"/>
      <c r="FP80" s="493"/>
      <c r="FQ80" s="493"/>
      <c r="FR80" s="493"/>
      <c r="FS80" s="493"/>
      <c r="FT80" s="493"/>
      <c r="FU80" s="493"/>
      <c r="FV80" s="493"/>
      <c r="FW80" s="493"/>
      <c r="FX80" s="493"/>
      <c r="FY80" s="493"/>
      <c r="FZ80" s="493"/>
      <c r="GA80" s="493"/>
      <c r="GB80" s="493"/>
      <c r="GC80" s="493"/>
      <c r="GD80" s="493"/>
    </row>
    <row r="81" spans="1:186" s="133" customFormat="1" ht="18" customHeight="1">
      <c r="A81" s="620" t="s">
        <v>69</v>
      </c>
      <c r="B81" s="621"/>
      <c r="C81" s="621"/>
      <c r="D81" s="621"/>
      <c r="E81" s="622" t="s">
        <v>70</v>
      </c>
      <c r="F81" s="601">
        <f>F21</f>
        <v>400</v>
      </c>
      <c r="G81" s="602"/>
      <c r="H81" s="620" t="s">
        <v>71</v>
      </c>
      <c r="I81" s="621"/>
      <c r="J81" s="621"/>
      <c r="K81" s="621"/>
      <c r="L81" s="622" t="s">
        <v>72</v>
      </c>
      <c r="M81" s="601">
        <f>M21</f>
        <v>400</v>
      </c>
      <c r="N81" s="602"/>
      <c r="O81" s="492"/>
      <c r="P81" s="492"/>
      <c r="Q81" s="605"/>
      <c r="R81" s="605"/>
      <c r="S81" s="605"/>
      <c r="T81" s="605"/>
      <c r="U81" s="492"/>
      <c r="V81" s="492"/>
      <c r="W81" s="605"/>
      <c r="X81" s="605"/>
      <c r="Y81" s="605"/>
      <c r="Z81" s="605"/>
      <c r="AA81" s="605"/>
      <c r="AB81" s="605"/>
      <c r="AC81" s="492"/>
      <c r="AD81" s="492"/>
      <c r="AE81" s="492"/>
      <c r="AF81" s="492"/>
      <c r="AG81" s="492"/>
      <c r="AH81" s="492"/>
      <c r="AI81" s="492"/>
      <c r="AJ81" s="492"/>
      <c r="AK81" s="492"/>
      <c r="AL81" s="497"/>
      <c r="AM81" s="497"/>
      <c r="AN81" s="497"/>
      <c r="AO81" s="498"/>
      <c r="AP81" s="497"/>
      <c r="AQ81" s="492"/>
      <c r="AR81" s="492"/>
      <c r="AS81" s="492"/>
      <c r="AT81" s="492"/>
      <c r="AU81" s="492"/>
      <c r="AV81" s="492"/>
      <c r="AW81" s="492"/>
      <c r="AX81" s="492"/>
      <c r="AY81" s="492"/>
      <c r="AZ81" s="492"/>
      <c r="BA81" s="492"/>
      <c r="BB81" s="492"/>
      <c r="BC81" s="492"/>
      <c r="BD81" s="492"/>
      <c r="BE81" s="492"/>
      <c r="BF81" s="492"/>
      <c r="BG81" s="492"/>
      <c r="BH81" s="492"/>
      <c r="BI81" s="492"/>
      <c r="BJ81" s="492"/>
      <c r="BK81" s="492"/>
      <c r="BL81" s="492"/>
      <c r="BM81" s="492"/>
      <c r="BN81" s="492"/>
      <c r="BO81" s="492"/>
      <c r="BP81" s="492"/>
      <c r="BQ81" s="492"/>
      <c r="BR81" s="492"/>
      <c r="BS81" s="492"/>
      <c r="BT81" s="492"/>
      <c r="BU81" s="492"/>
      <c r="BV81" s="492"/>
      <c r="BW81" s="492"/>
      <c r="BX81" s="492"/>
      <c r="BY81" s="492"/>
      <c r="BZ81" s="492"/>
      <c r="CA81" s="492"/>
      <c r="CB81" s="492"/>
      <c r="CC81" s="492"/>
      <c r="CD81" s="492"/>
      <c r="CE81" s="492"/>
      <c r="CF81" s="492"/>
      <c r="CG81" s="492"/>
      <c r="CH81" s="492"/>
      <c r="CI81" s="492"/>
      <c r="CJ81" s="492"/>
      <c r="CK81" s="492"/>
      <c r="CL81" s="492"/>
      <c r="CM81" s="492"/>
      <c r="CN81" s="492"/>
      <c r="CO81" s="492"/>
      <c r="CP81" s="492"/>
      <c r="CQ81" s="492"/>
      <c r="CR81" s="492"/>
      <c r="CS81" s="492"/>
      <c r="CT81" s="492"/>
      <c r="CU81" s="492"/>
      <c r="CV81" s="492"/>
      <c r="CW81" s="492"/>
      <c r="CX81" s="492"/>
      <c r="CY81" s="492"/>
      <c r="CZ81" s="492"/>
      <c r="DA81" s="492"/>
      <c r="DB81" s="492"/>
      <c r="DC81" s="492"/>
      <c r="DD81" s="492"/>
      <c r="DE81" s="492"/>
      <c r="DF81" s="492"/>
      <c r="DG81" s="492"/>
      <c r="DH81" s="492"/>
      <c r="DI81" s="492"/>
      <c r="DJ81" s="492"/>
      <c r="DK81" s="492"/>
      <c r="DL81" s="492"/>
      <c r="DM81" s="492"/>
      <c r="DN81" s="492"/>
      <c r="DO81" s="492"/>
      <c r="DP81" s="492"/>
      <c r="DQ81" s="492"/>
      <c r="DR81" s="492"/>
      <c r="DS81" s="492"/>
      <c r="DT81" s="492"/>
      <c r="DU81" s="492"/>
      <c r="DV81" s="492"/>
      <c r="DW81" s="492"/>
      <c r="DX81" s="492"/>
      <c r="DY81" s="492"/>
      <c r="DZ81" s="492"/>
      <c r="EA81" s="492"/>
      <c r="EB81" s="492"/>
      <c r="EC81" s="492"/>
      <c r="ED81" s="492"/>
      <c r="EE81" s="492"/>
      <c r="EF81" s="492"/>
      <c r="EG81" s="492"/>
      <c r="EH81" s="492"/>
      <c r="EI81" s="492"/>
      <c r="EJ81" s="492"/>
      <c r="EK81" s="492"/>
      <c r="EL81" s="492"/>
      <c r="EM81" s="492"/>
      <c r="EN81" s="492"/>
      <c r="EO81" s="492"/>
      <c r="EP81" s="492"/>
      <c r="EQ81" s="492"/>
      <c r="ER81" s="492"/>
      <c r="ES81" s="492"/>
      <c r="ET81" s="492"/>
      <c r="EU81" s="492"/>
      <c r="EV81" s="492"/>
      <c r="EW81" s="492"/>
      <c r="EX81" s="492"/>
      <c r="EY81" s="492"/>
      <c r="EZ81" s="492"/>
      <c r="FA81" s="492"/>
      <c r="FB81" s="492"/>
      <c r="FC81" s="492"/>
      <c r="FD81" s="492"/>
      <c r="FE81" s="492"/>
      <c r="FF81" s="492"/>
      <c r="FG81" s="492"/>
      <c r="FH81" s="492"/>
      <c r="FI81" s="492"/>
      <c r="FJ81" s="492"/>
      <c r="FK81" s="492"/>
      <c r="FL81" s="492"/>
      <c r="FM81" s="492"/>
      <c r="FN81" s="492"/>
      <c r="FO81" s="492"/>
      <c r="FP81" s="492"/>
      <c r="FQ81" s="492"/>
      <c r="FR81" s="492"/>
      <c r="FS81" s="492"/>
      <c r="FT81" s="492"/>
      <c r="FU81" s="492"/>
      <c r="FV81" s="492"/>
      <c r="FW81" s="492"/>
      <c r="FX81" s="492"/>
      <c r="FY81" s="492"/>
      <c r="FZ81" s="492"/>
      <c r="GA81" s="492"/>
      <c r="GB81" s="492"/>
      <c r="GC81" s="492"/>
      <c r="GD81" s="492"/>
    </row>
    <row r="82" spans="1:186" s="133" customFormat="1" ht="18" customHeight="1" thickBot="1">
      <c r="A82" s="606" t="s">
        <v>73</v>
      </c>
      <c r="B82" s="607"/>
      <c r="C82" s="607"/>
      <c r="D82" s="607"/>
      <c r="E82" s="623"/>
      <c r="F82" s="603"/>
      <c r="G82" s="604"/>
      <c r="H82" s="606" t="s">
        <v>74</v>
      </c>
      <c r="I82" s="607"/>
      <c r="J82" s="607"/>
      <c r="K82" s="607"/>
      <c r="L82" s="623"/>
      <c r="M82" s="603"/>
      <c r="N82" s="604"/>
      <c r="O82" s="492"/>
      <c r="P82" s="492"/>
      <c r="Q82" s="608"/>
      <c r="R82" s="608"/>
      <c r="S82" s="608"/>
      <c r="T82" s="608"/>
      <c r="U82" s="492"/>
      <c r="V82" s="492"/>
      <c r="W82" s="608"/>
      <c r="X82" s="608"/>
      <c r="Y82" s="608"/>
      <c r="Z82" s="608"/>
      <c r="AA82" s="608"/>
      <c r="AB82" s="608"/>
      <c r="AC82" s="492"/>
      <c r="AD82" s="492"/>
      <c r="AE82" s="492"/>
      <c r="AF82" s="492"/>
      <c r="AG82" s="492"/>
      <c r="AH82" s="492"/>
      <c r="AI82" s="492"/>
      <c r="AJ82" s="492"/>
      <c r="AK82" s="492"/>
      <c r="AL82" s="497"/>
      <c r="AM82" s="497"/>
      <c r="AN82" s="497"/>
      <c r="AO82" s="498"/>
      <c r="AP82" s="497"/>
      <c r="AQ82" s="492"/>
      <c r="AR82" s="492"/>
      <c r="AS82" s="492"/>
      <c r="AT82" s="492"/>
      <c r="AU82" s="492"/>
      <c r="AV82" s="492"/>
      <c r="AW82" s="492"/>
      <c r="AX82" s="492"/>
      <c r="AY82" s="492"/>
      <c r="AZ82" s="492"/>
      <c r="BA82" s="492"/>
      <c r="BB82" s="492"/>
      <c r="BC82" s="492"/>
      <c r="BD82" s="492"/>
      <c r="BE82" s="492"/>
      <c r="BF82" s="492"/>
      <c r="BG82" s="492"/>
      <c r="BH82" s="492"/>
      <c r="BI82" s="492"/>
      <c r="BJ82" s="492"/>
      <c r="BK82" s="492"/>
      <c r="BL82" s="492"/>
      <c r="BM82" s="492"/>
      <c r="BN82" s="492"/>
      <c r="BO82" s="492"/>
      <c r="BP82" s="492"/>
      <c r="BQ82" s="492"/>
      <c r="BR82" s="492"/>
      <c r="BS82" s="492"/>
      <c r="BT82" s="492"/>
      <c r="BU82" s="492"/>
      <c r="BV82" s="492"/>
      <c r="BW82" s="492"/>
      <c r="BX82" s="492"/>
      <c r="BY82" s="492"/>
      <c r="BZ82" s="492"/>
      <c r="CA82" s="492"/>
      <c r="CB82" s="492"/>
      <c r="CC82" s="492"/>
      <c r="CD82" s="492"/>
      <c r="CE82" s="492"/>
      <c r="CF82" s="492"/>
      <c r="CG82" s="492"/>
      <c r="CH82" s="492"/>
      <c r="CI82" s="492"/>
      <c r="CJ82" s="492"/>
      <c r="CK82" s="492"/>
      <c r="CL82" s="492"/>
      <c r="CM82" s="492"/>
      <c r="CN82" s="492"/>
      <c r="CO82" s="492"/>
      <c r="CP82" s="492"/>
      <c r="CQ82" s="492"/>
      <c r="CR82" s="492"/>
      <c r="CS82" s="492"/>
      <c r="CT82" s="492"/>
      <c r="CU82" s="492"/>
      <c r="CV82" s="492"/>
      <c r="CW82" s="492"/>
      <c r="CX82" s="492"/>
      <c r="CY82" s="492"/>
      <c r="CZ82" s="492"/>
      <c r="DA82" s="492"/>
      <c r="DB82" s="492"/>
      <c r="DC82" s="492"/>
      <c r="DD82" s="492"/>
      <c r="DE82" s="492"/>
      <c r="DF82" s="492"/>
      <c r="DG82" s="492"/>
      <c r="DH82" s="492"/>
      <c r="DI82" s="492"/>
      <c r="DJ82" s="492"/>
      <c r="DK82" s="492"/>
      <c r="DL82" s="492"/>
      <c r="DM82" s="492"/>
      <c r="DN82" s="492"/>
      <c r="DO82" s="492"/>
      <c r="DP82" s="492"/>
      <c r="DQ82" s="492"/>
      <c r="DR82" s="492"/>
      <c r="DS82" s="492"/>
      <c r="DT82" s="492"/>
      <c r="DU82" s="492"/>
      <c r="DV82" s="492"/>
      <c r="DW82" s="492"/>
      <c r="DX82" s="492"/>
      <c r="DY82" s="492"/>
      <c r="DZ82" s="492"/>
      <c r="EA82" s="492"/>
      <c r="EB82" s="492"/>
      <c r="EC82" s="492"/>
      <c r="ED82" s="492"/>
      <c r="EE82" s="492"/>
      <c r="EF82" s="492"/>
      <c r="EG82" s="492"/>
      <c r="EH82" s="492"/>
      <c r="EI82" s="492"/>
      <c r="EJ82" s="492"/>
      <c r="EK82" s="492"/>
      <c r="EL82" s="492"/>
      <c r="EM82" s="492"/>
      <c r="EN82" s="492"/>
      <c r="EO82" s="492"/>
      <c r="EP82" s="492"/>
      <c r="EQ82" s="492"/>
      <c r="ER82" s="492"/>
      <c r="ES82" s="492"/>
      <c r="ET82" s="492"/>
      <c r="EU82" s="492"/>
      <c r="EV82" s="492"/>
      <c r="EW82" s="492"/>
      <c r="EX82" s="492"/>
      <c r="EY82" s="492"/>
      <c r="EZ82" s="492"/>
      <c r="FA82" s="492"/>
      <c r="FB82" s="492"/>
      <c r="FC82" s="492"/>
      <c r="FD82" s="492"/>
      <c r="FE82" s="492"/>
      <c r="FF82" s="492"/>
      <c r="FG82" s="492"/>
      <c r="FH82" s="492"/>
      <c r="FI82" s="492"/>
      <c r="FJ82" s="492"/>
      <c r="FK82" s="492"/>
      <c r="FL82" s="492"/>
      <c r="FM82" s="492"/>
      <c r="FN82" s="492"/>
      <c r="FO82" s="492"/>
      <c r="FP82" s="492"/>
      <c r="FQ82" s="492"/>
      <c r="FR82" s="492"/>
      <c r="FS82" s="492"/>
      <c r="FT82" s="492"/>
      <c r="FU82" s="492"/>
      <c r="FV82" s="492"/>
      <c r="FW82" s="492"/>
      <c r="FX82" s="492"/>
      <c r="FY82" s="492"/>
      <c r="FZ82" s="492"/>
      <c r="GA82" s="492"/>
      <c r="GB82" s="492"/>
      <c r="GC82" s="492"/>
      <c r="GD82" s="492"/>
    </row>
    <row r="83" spans="1:186" s="133" customFormat="1" ht="18" customHeight="1" thickBot="1">
      <c r="B83" s="114"/>
      <c r="C83" s="114"/>
      <c r="D83" s="114"/>
      <c r="E83" s="114"/>
      <c r="F83" s="141" t="str">
        <f>IF(F81&gt;500," LA TENSIÓN DE BASE HA DE SER INFERIOR O IGUAL A 500 V"," ")</f>
        <v xml:space="preserve"> </v>
      </c>
      <c r="G83" s="178" t="str">
        <f>IF(M81&gt;500," LA TENSIÓN MÁXIMA HA DE SER INFERIOR O IGUAL A 500 V"," ")</f>
        <v xml:space="preserve"> </v>
      </c>
      <c r="I83" s="179"/>
      <c r="J83" s="114"/>
      <c r="K83" s="179"/>
      <c r="L83" s="179"/>
      <c r="N83" s="141" t="str">
        <f>IF(M81&lt;F81," LA TENSIÓN MÁXIMA HA DE SER SUPERIOR O IGUAL A LA DE BASE"," ")</f>
        <v xml:space="preserve"> </v>
      </c>
      <c r="O83" s="492"/>
      <c r="P83" s="492"/>
      <c r="Q83" s="492"/>
      <c r="R83" s="492"/>
      <c r="S83" s="492"/>
      <c r="T83" s="492"/>
      <c r="U83" s="492"/>
      <c r="V83" s="492"/>
      <c r="W83" s="492"/>
      <c r="X83" s="492"/>
      <c r="Y83" s="492"/>
      <c r="Z83" s="492"/>
      <c r="AA83" s="492"/>
      <c r="AB83" s="492"/>
      <c r="AC83" s="492"/>
      <c r="AD83" s="492"/>
      <c r="AE83" s="492"/>
      <c r="AF83" s="492"/>
      <c r="AG83" s="492"/>
      <c r="AH83" s="492"/>
      <c r="AI83" s="492"/>
      <c r="AJ83" s="492"/>
      <c r="AK83" s="492"/>
      <c r="AL83" s="497"/>
      <c r="AM83" s="497"/>
      <c r="AN83" s="498"/>
      <c r="AO83" s="497"/>
      <c r="AP83" s="492"/>
      <c r="AQ83" s="492"/>
      <c r="AR83" s="492"/>
      <c r="AS83" s="492"/>
      <c r="AT83" s="492"/>
      <c r="AU83" s="492"/>
      <c r="AV83" s="492"/>
      <c r="AW83" s="492"/>
      <c r="AX83" s="492"/>
      <c r="AY83" s="492"/>
      <c r="AZ83" s="492"/>
      <c r="BA83" s="492"/>
      <c r="BB83" s="492"/>
      <c r="BC83" s="492"/>
      <c r="BD83" s="492"/>
      <c r="BE83" s="492"/>
      <c r="BF83" s="492"/>
      <c r="BG83" s="492"/>
      <c r="BH83" s="492"/>
      <c r="BI83" s="492"/>
      <c r="BJ83" s="492"/>
      <c r="BK83" s="492"/>
      <c r="BL83" s="492"/>
      <c r="BM83" s="492"/>
      <c r="BN83" s="492"/>
      <c r="BO83" s="492"/>
      <c r="BP83" s="492"/>
      <c r="BQ83" s="492"/>
      <c r="BR83" s="492"/>
      <c r="BS83" s="492"/>
      <c r="BT83" s="492"/>
      <c r="BU83" s="492"/>
      <c r="BV83" s="492"/>
      <c r="BW83" s="492"/>
      <c r="BX83" s="492"/>
      <c r="BY83" s="492"/>
      <c r="BZ83" s="492"/>
      <c r="CA83" s="492"/>
      <c r="CB83" s="492"/>
      <c r="CC83" s="492"/>
      <c r="CD83" s="492"/>
      <c r="CE83" s="492"/>
      <c r="CF83" s="492"/>
      <c r="CG83" s="492"/>
      <c r="CH83" s="492"/>
      <c r="CI83" s="492"/>
      <c r="CJ83" s="492"/>
      <c r="CK83" s="492"/>
      <c r="CL83" s="492"/>
      <c r="CM83" s="492"/>
      <c r="CN83" s="492"/>
      <c r="CO83" s="492"/>
      <c r="CP83" s="492"/>
      <c r="CQ83" s="492"/>
      <c r="CR83" s="492"/>
      <c r="CS83" s="492"/>
      <c r="CT83" s="492"/>
      <c r="CU83" s="492"/>
      <c r="CV83" s="492"/>
      <c r="CW83" s="492"/>
      <c r="CX83" s="492"/>
      <c r="CY83" s="492"/>
      <c r="CZ83" s="492"/>
      <c r="DA83" s="492"/>
      <c r="DB83" s="492"/>
      <c r="DC83" s="492"/>
      <c r="DD83" s="492"/>
      <c r="DE83" s="492"/>
      <c r="DF83" s="492"/>
      <c r="DG83" s="492"/>
      <c r="DH83" s="492"/>
      <c r="DI83" s="492"/>
      <c r="DJ83" s="492"/>
      <c r="DK83" s="492"/>
      <c r="DL83" s="492"/>
      <c r="DM83" s="492"/>
      <c r="DN83" s="492"/>
      <c r="DO83" s="492"/>
      <c r="DP83" s="492"/>
      <c r="DQ83" s="492"/>
      <c r="DR83" s="492"/>
      <c r="DS83" s="492"/>
      <c r="DT83" s="492"/>
      <c r="DU83" s="492"/>
      <c r="DV83" s="492"/>
      <c r="DW83" s="492"/>
      <c r="DX83" s="492"/>
      <c r="DY83" s="492"/>
      <c r="DZ83" s="492"/>
      <c r="EA83" s="492"/>
      <c r="EB83" s="492"/>
      <c r="EC83" s="492"/>
      <c r="ED83" s="492"/>
      <c r="EE83" s="492"/>
      <c r="EF83" s="492"/>
      <c r="EG83" s="492"/>
      <c r="EH83" s="492"/>
      <c r="EI83" s="492"/>
      <c r="EJ83" s="492"/>
      <c r="EK83" s="492"/>
      <c r="EL83" s="492"/>
      <c r="EM83" s="492"/>
      <c r="EN83" s="492"/>
      <c r="EO83" s="492"/>
      <c r="EP83" s="492"/>
      <c r="EQ83" s="492"/>
      <c r="ER83" s="492"/>
      <c r="ES83" s="492"/>
      <c r="ET83" s="492"/>
      <c r="EU83" s="492"/>
      <c r="EV83" s="492"/>
      <c r="EW83" s="492"/>
      <c r="EX83" s="492"/>
      <c r="EY83" s="492"/>
      <c r="EZ83" s="492"/>
      <c r="FA83" s="492"/>
      <c r="FB83" s="492"/>
      <c r="FC83" s="492"/>
      <c r="FD83" s="492"/>
      <c r="FE83" s="492"/>
      <c r="FF83" s="492"/>
      <c r="FG83" s="492"/>
      <c r="FH83" s="492"/>
      <c r="FI83" s="492"/>
      <c r="FJ83" s="492"/>
      <c r="FK83" s="492"/>
      <c r="FL83" s="492"/>
      <c r="FM83" s="492"/>
      <c r="FN83" s="492"/>
      <c r="FO83" s="492"/>
      <c r="FP83" s="492"/>
      <c r="FQ83" s="492"/>
      <c r="FR83" s="492"/>
      <c r="FS83" s="492"/>
      <c r="FT83" s="492"/>
      <c r="FU83" s="492"/>
      <c r="FV83" s="492"/>
      <c r="FW83" s="492"/>
      <c r="FX83" s="492"/>
      <c r="FY83" s="492"/>
      <c r="FZ83" s="492"/>
      <c r="GA83" s="492"/>
      <c r="GB83" s="492"/>
      <c r="GC83" s="492"/>
      <c r="GD83" s="492"/>
    </row>
    <row r="84" spans="1:186" s="133" customFormat="1" ht="18" customHeight="1">
      <c r="B84" s="609" t="s">
        <v>75</v>
      </c>
      <c r="C84" s="610"/>
      <c r="D84" s="610"/>
      <c r="E84" s="610"/>
      <c r="F84" s="613" t="str">
        <f>F24</f>
        <v>S1</v>
      </c>
      <c r="G84" s="139"/>
      <c r="H84" s="609" t="str">
        <f>H24</f>
        <v>Servicio / Service  S6 -</v>
      </c>
      <c r="I84" s="610"/>
      <c r="J84" s="610"/>
      <c r="K84" s="610"/>
      <c r="L84" s="615">
        <f>L24</f>
        <v>0.4</v>
      </c>
      <c r="M84" s="180"/>
      <c r="N84" s="141"/>
      <c r="O84" s="492"/>
      <c r="P84" s="492"/>
      <c r="Q84" s="492"/>
      <c r="R84" s="492"/>
      <c r="S84" s="492"/>
      <c r="T84" s="492"/>
      <c r="U84" s="492"/>
      <c r="V84" s="492"/>
      <c r="W84" s="492"/>
      <c r="X84" s="492"/>
      <c r="Y84" s="492"/>
      <c r="Z84" s="492"/>
      <c r="AA84" s="492"/>
      <c r="AB84" s="492"/>
      <c r="AC84" s="492"/>
      <c r="AD84" s="492"/>
      <c r="AE84" s="492"/>
      <c r="AF84" s="492"/>
      <c r="AG84" s="492"/>
      <c r="AH84" s="492"/>
      <c r="AI84" s="492"/>
      <c r="AJ84" s="492"/>
      <c r="AK84" s="492"/>
      <c r="AL84" s="497"/>
      <c r="AM84" s="497"/>
      <c r="AN84" s="498"/>
      <c r="AO84" s="497"/>
      <c r="AP84" s="492"/>
      <c r="AQ84" s="492"/>
      <c r="AR84" s="492"/>
      <c r="AS84" s="492"/>
      <c r="AT84" s="492"/>
      <c r="AU84" s="492"/>
      <c r="AV84" s="492"/>
      <c r="AW84" s="492"/>
      <c r="AX84" s="492"/>
      <c r="AY84" s="492"/>
      <c r="AZ84" s="492"/>
      <c r="BA84" s="492"/>
      <c r="BB84" s="492"/>
      <c r="BC84" s="492"/>
      <c r="BD84" s="492"/>
      <c r="BE84" s="492"/>
      <c r="BF84" s="492"/>
      <c r="BG84" s="492"/>
      <c r="BH84" s="492"/>
      <c r="BI84" s="492"/>
      <c r="BJ84" s="492"/>
      <c r="BK84" s="492"/>
      <c r="BL84" s="492"/>
      <c r="BM84" s="492"/>
      <c r="BN84" s="492"/>
      <c r="BO84" s="492"/>
      <c r="BP84" s="492"/>
      <c r="BQ84" s="492"/>
      <c r="BR84" s="492"/>
      <c r="BS84" s="492"/>
      <c r="BT84" s="492"/>
      <c r="BU84" s="492"/>
      <c r="BV84" s="492"/>
      <c r="BW84" s="492"/>
      <c r="BX84" s="492"/>
      <c r="BY84" s="492"/>
      <c r="BZ84" s="492"/>
      <c r="CA84" s="492"/>
      <c r="CB84" s="492"/>
      <c r="CC84" s="492"/>
      <c r="CD84" s="492"/>
      <c r="CE84" s="492"/>
      <c r="CF84" s="492"/>
      <c r="CG84" s="492"/>
      <c r="CH84" s="492"/>
      <c r="CI84" s="492"/>
      <c r="CJ84" s="492"/>
      <c r="CK84" s="492"/>
      <c r="CL84" s="492"/>
      <c r="CM84" s="492"/>
      <c r="CN84" s="492"/>
      <c r="CO84" s="492"/>
      <c r="CP84" s="492"/>
      <c r="CQ84" s="492"/>
      <c r="CR84" s="492"/>
      <c r="CS84" s="492"/>
      <c r="CT84" s="492"/>
      <c r="CU84" s="492"/>
      <c r="CV84" s="492"/>
      <c r="CW84" s="492"/>
      <c r="CX84" s="492"/>
      <c r="CY84" s="492"/>
      <c r="CZ84" s="492"/>
      <c r="DA84" s="492"/>
      <c r="DB84" s="492"/>
      <c r="DC84" s="492"/>
      <c r="DD84" s="492"/>
      <c r="DE84" s="492"/>
      <c r="DF84" s="492"/>
      <c r="DG84" s="492"/>
      <c r="DH84" s="492"/>
      <c r="DI84" s="492"/>
      <c r="DJ84" s="492"/>
      <c r="DK84" s="492"/>
      <c r="DL84" s="492"/>
      <c r="DM84" s="492"/>
      <c r="DN84" s="492"/>
      <c r="DO84" s="492"/>
      <c r="DP84" s="492"/>
      <c r="DQ84" s="492"/>
      <c r="DR84" s="492"/>
      <c r="DS84" s="492"/>
      <c r="DT84" s="492"/>
      <c r="DU84" s="492"/>
      <c r="DV84" s="492"/>
      <c r="DW84" s="492"/>
      <c r="DX84" s="492"/>
      <c r="DY84" s="492"/>
      <c r="DZ84" s="492"/>
      <c r="EA84" s="492"/>
      <c r="EB84" s="492"/>
      <c r="EC84" s="492"/>
      <c r="ED84" s="492"/>
      <c r="EE84" s="492"/>
      <c r="EF84" s="492"/>
      <c r="EG84" s="492"/>
      <c r="EH84" s="492"/>
      <c r="EI84" s="492"/>
      <c r="EJ84" s="492"/>
      <c r="EK84" s="492"/>
      <c r="EL84" s="492"/>
      <c r="EM84" s="492"/>
      <c r="EN84" s="492"/>
      <c r="EO84" s="492"/>
      <c r="EP84" s="492"/>
      <c r="EQ84" s="492"/>
      <c r="ER84" s="492"/>
      <c r="ES84" s="492"/>
      <c r="ET84" s="492"/>
      <c r="EU84" s="492"/>
      <c r="EV84" s="492"/>
      <c r="EW84" s="492"/>
      <c r="EX84" s="492"/>
      <c r="EY84" s="492"/>
      <c r="EZ84" s="492"/>
      <c r="FA84" s="492"/>
      <c r="FB84" s="492"/>
      <c r="FC84" s="492"/>
      <c r="FD84" s="492"/>
      <c r="FE84" s="492"/>
      <c r="FF84" s="492"/>
      <c r="FG84" s="492"/>
      <c r="FH84" s="492"/>
      <c r="FI84" s="492"/>
      <c r="FJ84" s="492"/>
      <c r="FK84" s="492"/>
      <c r="FL84" s="492"/>
      <c r="FM84" s="492"/>
      <c r="FN84" s="492"/>
      <c r="FO84" s="492"/>
      <c r="FP84" s="492"/>
      <c r="FQ84" s="492"/>
      <c r="FR84" s="492"/>
      <c r="FS84" s="492"/>
      <c r="FT84" s="492"/>
      <c r="FU84" s="492"/>
      <c r="FV84" s="492"/>
      <c r="FW84" s="492"/>
      <c r="FX84" s="492"/>
      <c r="FY84" s="492"/>
      <c r="FZ84" s="492"/>
      <c r="GA84" s="492"/>
      <c r="GB84" s="492"/>
      <c r="GC84" s="492"/>
      <c r="GD84" s="492"/>
    </row>
    <row r="85" spans="1:186" s="133" customFormat="1" ht="18" customHeight="1" thickBot="1">
      <c r="A85" s="104"/>
      <c r="B85" s="611"/>
      <c r="C85" s="612"/>
      <c r="D85" s="612"/>
      <c r="E85" s="612"/>
      <c r="F85" s="614"/>
      <c r="G85" s="142"/>
      <c r="H85" s="611"/>
      <c r="I85" s="612"/>
      <c r="J85" s="612"/>
      <c r="K85" s="612">
        <f>H29</f>
        <v>803.34861720592698</v>
      </c>
      <c r="L85" s="616">
        <f>L29</f>
        <v>28.422658274528033</v>
      </c>
      <c r="M85" s="181"/>
      <c r="N85" s="84"/>
      <c r="O85" s="492"/>
      <c r="P85" s="492"/>
      <c r="Q85" s="492"/>
      <c r="R85" s="492"/>
      <c r="S85" s="492"/>
      <c r="T85" s="492"/>
      <c r="U85" s="492"/>
      <c r="V85" s="492"/>
      <c r="W85" s="492"/>
      <c r="X85" s="492"/>
      <c r="Y85" s="492"/>
      <c r="Z85" s="492"/>
      <c r="AA85" s="492"/>
      <c r="AB85" s="492"/>
      <c r="AC85" s="492"/>
      <c r="AD85" s="492"/>
      <c r="AE85" s="492"/>
      <c r="AF85" s="492"/>
      <c r="AG85" s="492"/>
      <c r="AH85" s="492"/>
      <c r="AI85" s="492"/>
      <c r="AJ85" s="492"/>
      <c r="AK85" s="492"/>
      <c r="AL85" s="497"/>
      <c r="AM85" s="498"/>
      <c r="AN85" s="497"/>
      <c r="AO85" s="492"/>
      <c r="AP85" s="492"/>
      <c r="AQ85" s="492"/>
      <c r="AR85" s="492"/>
      <c r="AS85" s="492"/>
      <c r="AT85" s="492"/>
      <c r="AU85" s="492"/>
      <c r="AV85" s="492"/>
      <c r="AW85" s="492"/>
      <c r="AX85" s="492"/>
      <c r="AY85" s="492"/>
      <c r="AZ85" s="492"/>
      <c r="BA85" s="492"/>
      <c r="BB85" s="492"/>
      <c r="BC85" s="492"/>
      <c r="BD85" s="492"/>
      <c r="BE85" s="492"/>
      <c r="BF85" s="492"/>
      <c r="BG85" s="492"/>
      <c r="BH85" s="492"/>
      <c r="BI85" s="492"/>
      <c r="BJ85" s="492"/>
      <c r="BK85" s="492"/>
      <c r="BL85" s="492"/>
      <c r="BM85" s="492"/>
      <c r="BN85" s="492"/>
      <c r="BO85" s="492"/>
      <c r="BP85" s="492"/>
      <c r="BQ85" s="492"/>
      <c r="BR85" s="492"/>
      <c r="BS85" s="492"/>
      <c r="BT85" s="492"/>
      <c r="BU85" s="492"/>
      <c r="BV85" s="492"/>
      <c r="BW85" s="492"/>
      <c r="BX85" s="492"/>
      <c r="BY85" s="492"/>
      <c r="BZ85" s="492"/>
      <c r="CA85" s="492"/>
      <c r="CB85" s="492"/>
      <c r="CC85" s="492"/>
      <c r="CD85" s="492"/>
      <c r="CE85" s="492"/>
      <c r="CF85" s="492"/>
      <c r="CG85" s="492"/>
      <c r="CH85" s="492"/>
      <c r="CI85" s="492"/>
      <c r="CJ85" s="492"/>
      <c r="CK85" s="492"/>
      <c r="CL85" s="492"/>
      <c r="CM85" s="492"/>
      <c r="CN85" s="492"/>
      <c r="CO85" s="492"/>
      <c r="CP85" s="492"/>
      <c r="CQ85" s="492"/>
      <c r="CR85" s="492"/>
      <c r="CS85" s="492"/>
      <c r="CT85" s="492"/>
      <c r="CU85" s="492"/>
      <c r="CV85" s="492"/>
      <c r="CW85" s="492"/>
      <c r="CX85" s="492"/>
      <c r="CY85" s="492"/>
      <c r="CZ85" s="492"/>
      <c r="DA85" s="492"/>
      <c r="DB85" s="492"/>
      <c r="DC85" s="492"/>
      <c r="DD85" s="492"/>
      <c r="DE85" s="492"/>
      <c r="DF85" s="492"/>
      <c r="DG85" s="492"/>
      <c r="DH85" s="492"/>
      <c r="DI85" s="492"/>
      <c r="DJ85" s="492"/>
      <c r="DK85" s="492"/>
      <c r="DL85" s="492"/>
      <c r="DM85" s="492"/>
      <c r="DN85" s="492"/>
      <c r="DO85" s="492"/>
      <c r="DP85" s="492"/>
      <c r="DQ85" s="492"/>
      <c r="DR85" s="492"/>
      <c r="DS85" s="492"/>
      <c r="DT85" s="492"/>
      <c r="DU85" s="492"/>
      <c r="DV85" s="492"/>
      <c r="DW85" s="492"/>
      <c r="DX85" s="492"/>
      <c r="DY85" s="492"/>
      <c r="DZ85" s="492"/>
      <c r="EA85" s="492"/>
      <c r="EB85" s="492"/>
      <c r="EC85" s="492"/>
      <c r="ED85" s="492"/>
      <c r="EE85" s="492"/>
      <c r="EF85" s="492"/>
      <c r="EG85" s="492"/>
      <c r="EH85" s="492"/>
      <c r="EI85" s="492"/>
      <c r="EJ85" s="492"/>
      <c r="EK85" s="492"/>
      <c r="EL85" s="492"/>
      <c r="EM85" s="492"/>
      <c r="EN85" s="492"/>
      <c r="EO85" s="492"/>
      <c r="EP85" s="492"/>
      <c r="EQ85" s="492"/>
      <c r="ER85" s="492"/>
      <c r="ES85" s="492"/>
      <c r="ET85" s="492"/>
      <c r="EU85" s="492"/>
      <c r="EV85" s="492"/>
      <c r="EW85" s="492"/>
      <c r="EX85" s="492"/>
      <c r="EY85" s="492"/>
      <c r="EZ85" s="492"/>
      <c r="FA85" s="492"/>
      <c r="FB85" s="492"/>
      <c r="FC85" s="492"/>
      <c r="FD85" s="492"/>
      <c r="FE85" s="492"/>
      <c r="FF85" s="492"/>
      <c r="FG85" s="492"/>
      <c r="FH85" s="492"/>
      <c r="FI85" s="492"/>
      <c r="FJ85" s="492"/>
      <c r="FK85" s="492"/>
      <c r="FL85" s="492"/>
      <c r="FM85" s="492"/>
      <c r="FN85" s="492"/>
      <c r="FO85" s="492"/>
      <c r="FP85" s="492"/>
      <c r="FQ85" s="492"/>
      <c r="FR85" s="492"/>
      <c r="FS85" s="492"/>
      <c r="FT85" s="492"/>
      <c r="FU85" s="492"/>
      <c r="FV85" s="492"/>
      <c r="FW85" s="492"/>
      <c r="FX85" s="492"/>
      <c r="FY85" s="492"/>
      <c r="FZ85" s="492"/>
      <c r="GA85" s="492"/>
      <c r="GB85" s="492"/>
      <c r="GC85" s="492"/>
      <c r="GD85" s="492"/>
    </row>
    <row r="86" spans="1:186" s="133" customFormat="1" ht="96.75" customHeight="1" thickBot="1">
      <c r="A86" s="182" t="s">
        <v>226</v>
      </c>
      <c r="B86" s="145" t="s">
        <v>79</v>
      </c>
      <c r="C86" s="146" t="s">
        <v>80</v>
      </c>
      <c r="D86" s="145" t="s">
        <v>81</v>
      </c>
      <c r="E86" s="147" t="s">
        <v>82</v>
      </c>
      <c r="F86" s="148" t="s">
        <v>83</v>
      </c>
      <c r="G86" s="146" t="s">
        <v>84</v>
      </c>
      <c r="H86" s="148" t="s">
        <v>79</v>
      </c>
      <c r="I86" s="146" t="s">
        <v>85</v>
      </c>
      <c r="J86" s="145" t="s">
        <v>81</v>
      </c>
      <c r="K86" s="147" t="s">
        <v>82</v>
      </c>
      <c r="L86" s="148" t="s">
        <v>83</v>
      </c>
      <c r="M86" s="146" t="s">
        <v>84</v>
      </c>
      <c r="N86" s="149" t="s">
        <v>86</v>
      </c>
      <c r="O86" s="511" t="s">
        <v>87</v>
      </c>
      <c r="P86" s="511" t="s">
        <v>88</v>
      </c>
      <c r="Q86" s="511" t="s">
        <v>83</v>
      </c>
      <c r="R86" s="511" t="s">
        <v>82</v>
      </c>
      <c r="S86" s="511" t="s">
        <v>89</v>
      </c>
      <c r="T86" s="511"/>
      <c r="U86" s="511" t="s">
        <v>90</v>
      </c>
      <c r="V86" s="511" t="s">
        <v>91</v>
      </c>
      <c r="W86" s="511" t="s">
        <v>92</v>
      </c>
      <c r="X86" s="511" t="s">
        <v>93</v>
      </c>
      <c r="Y86" s="511" t="s">
        <v>94</v>
      </c>
      <c r="Z86" s="511" t="s">
        <v>95</v>
      </c>
      <c r="AA86" s="511" t="s">
        <v>96</v>
      </c>
      <c r="AB86" s="511" t="s">
        <v>97</v>
      </c>
      <c r="AC86" s="511" t="s">
        <v>98</v>
      </c>
      <c r="AD86" s="511" t="s">
        <v>230</v>
      </c>
      <c r="AE86" s="504"/>
      <c r="AF86" s="504"/>
      <c r="AG86" s="504"/>
      <c r="AH86" s="504"/>
      <c r="AI86" s="504"/>
      <c r="AJ86" s="504"/>
      <c r="AK86" s="504"/>
      <c r="AL86" s="504"/>
      <c r="AM86" s="504"/>
      <c r="AN86" s="492"/>
      <c r="AO86" s="492"/>
      <c r="AP86" s="492"/>
      <c r="AQ86" s="492"/>
      <c r="AR86" s="492"/>
      <c r="AS86" s="492"/>
      <c r="AT86" s="492"/>
      <c r="AU86" s="492"/>
      <c r="AV86" s="492"/>
      <c r="AW86" s="492"/>
      <c r="AX86" s="492"/>
      <c r="AY86" s="492"/>
      <c r="AZ86" s="492"/>
      <c r="BA86" s="492"/>
      <c r="BB86" s="492"/>
      <c r="BC86" s="492"/>
      <c r="BD86" s="492"/>
      <c r="BE86" s="492"/>
      <c r="BF86" s="492"/>
      <c r="BG86" s="492"/>
      <c r="BH86" s="492"/>
      <c r="BI86" s="492"/>
      <c r="BJ86" s="492"/>
      <c r="BK86" s="492"/>
      <c r="BL86" s="492"/>
      <c r="BM86" s="492"/>
      <c r="BN86" s="492"/>
      <c r="BO86" s="492"/>
      <c r="BP86" s="492"/>
      <c r="BQ86" s="492"/>
      <c r="BR86" s="492"/>
      <c r="BS86" s="492"/>
      <c r="BT86" s="492"/>
      <c r="BU86" s="492"/>
      <c r="BV86" s="492"/>
      <c r="BW86" s="492"/>
      <c r="BX86" s="492"/>
      <c r="BY86" s="492"/>
      <c r="BZ86" s="492"/>
      <c r="CA86" s="492"/>
      <c r="CB86" s="492"/>
      <c r="CC86" s="492"/>
      <c r="CD86" s="492"/>
      <c r="CE86" s="492"/>
      <c r="CF86" s="492"/>
      <c r="CG86" s="492"/>
      <c r="CH86" s="492"/>
      <c r="CI86" s="492"/>
      <c r="CJ86" s="492"/>
      <c r="CK86" s="492"/>
      <c r="CL86" s="492"/>
      <c r="CM86" s="492"/>
      <c r="CN86" s="492"/>
      <c r="CO86" s="492"/>
      <c r="CP86" s="492"/>
      <c r="CQ86" s="492"/>
      <c r="CR86" s="492"/>
      <c r="CS86" s="492"/>
      <c r="CT86" s="492"/>
      <c r="CU86" s="492"/>
      <c r="CV86" s="492"/>
      <c r="CW86" s="492"/>
      <c r="CX86" s="492"/>
      <c r="CY86" s="492"/>
      <c r="CZ86" s="492"/>
      <c r="DA86" s="492"/>
      <c r="DB86" s="492"/>
      <c r="DC86" s="492"/>
      <c r="DD86" s="492"/>
      <c r="DE86" s="492"/>
      <c r="DF86" s="492"/>
      <c r="DG86" s="492"/>
      <c r="DH86" s="492"/>
      <c r="DI86" s="492"/>
      <c r="DJ86" s="492"/>
      <c r="DK86" s="492"/>
      <c r="DL86" s="492"/>
      <c r="DM86" s="492"/>
      <c r="DN86" s="492"/>
      <c r="DO86" s="492"/>
      <c r="DP86" s="492"/>
      <c r="DQ86" s="492"/>
      <c r="DR86" s="492"/>
      <c r="DS86" s="492"/>
      <c r="DT86" s="492"/>
      <c r="DU86" s="492"/>
      <c r="DV86" s="492"/>
      <c r="DW86" s="492"/>
      <c r="DX86" s="492"/>
      <c r="DY86" s="492"/>
      <c r="DZ86" s="492"/>
      <c r="EA86" s="492"/>
      <c r="EB86" s="492"/>
      <c r="EC86" s="492"/>
      <c r="ED86" s="492"/>
      <c r="EE86" s="492"/>
      <c r="EF86" s="492"/>
      <c r="EG86" s="492"/>
      <c r="EH86" s="492"/>
      <c r="EI86" s="492"/>
      <c r="EJ86" s="492"/>
      <c r="EK86" s="492"/>
      <c r="EL86" s="492"/>
      <c r="EM86" s="492"/>
      <c r="EN86" s="492"/>
      <c r="EO86" s="492"/>
      <c r="EP86" s="492"/>
      <c r="EQ86" s="492"/>
      <c r="ER86" s="492"/>
      <c r="ES86" s="492"/>
      <c r="ET86" s="492"/>
      <c r="EU86" s="492"/>
      <c r="EV86" s="492"/>
      <c r="EW86" s="492"/>
      <c r="EX86" s="492"/>
      <c r="EY86" s="492"/>
      <c r="EZ86" s="492"/>
      <c r="FA86" s="492"/>
      <c r="FB86" s="492"/>
      <c r="FC86" s="492"/>
      <c r="FD86" s="492"/>
      <c r="FE86" s="492"/>
      <c r="FF86" s="492"/>
      <c r="FG86" s="492"/>
      <c r="FH86" s="492"/>
      <c r="FI86" s="492"/>
      <c r="FJ86" s="492"/>
      <c r="FK86" s="492"/>
      <c r="FL86" s="492"/>
      <c r="FM86" s="492"/>
      <c r="FN86" s="492"/>
      <c r="FO86" s="492"/>
      <c r="FP86" s="492"/>
      <c r="FQ86" s="492"/>
      <c r="FR86" s="492"/>
      <c r="FS86" s="492"/>
      <c r="FT86" s="492"/>
      <c r="FU86" s="492"/>
      <c r="FV86" s="492"/>
      <c r="FW86" s="492"/>
      <c r="FX86" s="492"/>
      <c r="FY86" s="492"/>
      <c r="FZ86" s="492"/>
      <c r="GA86" s="492"/>
      <c r="GB86" s="492"/>
      <c r="GC86" s="492"/>
      <c r="GD86" s="492"/>
    </row>
    <row r="87" spans="1:186" s="101" customFormat="1" ht="24.95" customHeight="1" thickBot="1">
      <c r="A87" s="183" t="s">
        <v>243</v>
      </c>
      <c r="B87" s="184">
        <f>VLOOKUP($A$87,$A$27:$Y$40,2,FALSE)</f>
        <v>480</v>
      </c>
      <c r="C87" s="423">
        <f>VLOOKUP($A$87,$A$27:$Y$40,3,FALSE)</f>
        <v>274.60000000000002</v>
      </c>
      <c r="D87" s="424">
        <f>VLOOKUP($A$87,$A$27:$Y$40,4,FALSE)</f>
        <v>149.59007579333158</v>
      </c>
      <c r="E87" s="186">
        <f>VLOOKUP($A$87,$A$27:$Y$40,5,FALSE)</f>
        <v>2976</v>
      </c>
      <c r="F87" s="187">
        <f>VLOOKUP($A$87,$A$27:$Y$40,6,FALSE)</f>
        <v>100</v>
      </c>
      <c r="G87" s="185">
        <f>VLOOKUP($A$87,$A$27:$Y$40,7,FALSE)</f>
        <v>6500</v>
      </c>
      <c r="H87" s="184">
        <f>VLOOKUP($A$87,$A$27:$Y$40,8,FALSE)</f>
        <v>712.31346394614638</v>
      </c>
      <c r="I87" s="423">
        <f>VLOOKUP($A$87,$A$27:$Y$40,9,FALSE)</f>
        <v>389.24492289559799</v>
      </c>
      <c r="J87" s="424">
        <f>VLOOKUP($A$87,$A$27:$Y$40,10,FALSE)</f>
        <v>221.98963554232211</v>
      </c>
      <c r="K87" s="186">
        <f>VLOOKUP($A$87,$A$27:$Y$40,11,FALSE)</f>
        <v>2976</v>
      </c>
      <c r="L87" s="187">
        <f>VLOOKUP($A$87,$A$27:$Y$40,12,FALSE)</f>
        <v>100.38718910657691</v>
      </c>
      <c r="M87" s="185">
        <f>VLOOKUP($A$87,$A$27:$Y$40,13,FALSE)</f>
        <v>6500</v>
      </c>
      <c r="N87" s="425">
        <f>VLOOKUP($A$87,$A$27:$Y$40,14,FALSE)</f>
        <v>110</v>
      </c>
      <c r="O87" s="519">
        <f>VLOOKUP($A$87,$A$27:$Y$40,15,FALSE)</f>
        <v>0.96589487818245279</v>
      </c>
      <c r="P87" s="519">
        <f>VLOOKUP($A$87,$A$27:$Y$40,16,FALSE)</f>
        <v>0.81405128743680499</v>
      </c>
      <c r="Q87" s="514">
        <f>VLOOKUP($A$87,$A$27:$Y$40,17,FALSE)</f>
        <v>100</v>
      </c>
      <c r="R87" s="514">
        <f>VLOOKUP($A$87,$A$27:$Y$40,18,FALSE)</f>
        <v>2976</v>
      </c>
      <c r="S87" s="515">
        <f>VLOOKUP($A$87,$A$27:$Y$40,19,FALSE)</f>
        <v>24</v>
      </c>
      <c r="T87" s="514"/>
      <c r="U87" s="515">
        <f>VLOOKUP($A$87,$A$27:$Y$40,21,FALSE)</f>
        <v>712.31346394614638</v>
      </c>
      <c r="V87" s="515">
        <f>VLOOKUP($A$87,$A$27:$Y$40,22,FALSE)</f>
        <v>389.24492289559799</v>
      </c>
      <c r="W87" s="514">
        <f>VLOOKUP($A$87,$A$27:$Y$40,23,FALSE)</f>
        <v>1077.2769080377625</v>
      </c>
      <c r="X87" s="514">
        <f>VLOOKUP($A$87,$A$27:$Y$40,24,FALSE)</f>
        <v>2044.434035729915</v>
      </c>
      <c r="Y87" s="515">
        <f>VLOOKUP($A$87,$A$27:$Y$40,25,FALSE)</f>
        <v>2596.3797011253637</v>
      </c>
      <c r="Z87" s="515">
        <f>VLOOKUP($A$87,$A$27:$AD$40,26,FALSE)</f>
        <v>555.86576279465282</v>
      </c>
      <c r="AA87" s="515">
        <f>VLOOKUP($A$87,$A$27:$AD$40,27,FALSE)</f>
        <v>7660.1369744973636</v>
      </c>
      <c r="AB87" s="515">
        <f>VLOOKUP($A$87,$A$27:$AD$40,28,FALSE)</f>
        <v>4543.4286582014902</v>
      </c>
      <c r="AC87" s="515">
        <f>VLOOKUP($A$87,$A$27:$AD$40,29,FALSE)</f>
        <v>12470.343231221375</v>
      </c>
      <c r="AD87" s="513">
        <f>VLOOKUP($A$87,$A$27:$AD$40,30,FALSE)</f>
        <v>0.81</v>
      </c>
      <c r="AE87" s="494"/>
      <c r="AF87" s="494"/>
      <c r="AG87" s="494"/>
      <c r="AH87" s="494"/>
      <c r="AI87" s="494"/>
      <c r="AJ87" s="494"/>
      <c r="AK87" s="494"/>
      <c r="AL87" s="494"/>
      <c r="AM87" s="494"/>
      <c r="AN87" s="494"/>
      <c r="AO87" s="494"/>
      <c r="AP87" s="494"/>
      <c r="AQ87" s="494"/>
      <c r="AR87" s="494"/>
      <c r="AS87" s="494"/>
      <c r="AT87" s="494"/>
      <c r="AU87" s="494"/>
      <c r="AV87" s="494"/>
      <c r="AW87" s="494"/>
      <c r="AX87" s="494"/>
      <c r="AY87" s="494"/>
      <c r="AZ87" s="494"/>
      <c r="BA87" s="494"/>
      <c r="BB87" s="494"/>
      <c r="BC87" s="494"/>
      <c r="BD87" s="494"/>
      <c r="BE87" s="494"/>
      <c r="BF87" s="494"/>
      <c r="BG87" s="494"/>
      <c r="BH87" s="494"/>
      <c r="BI87" s="494"/>
      <c r="BJ87" s="494"/>
      <c r="BK87" s="494"/>
      <c r="BL87" s="494"/>
      <c r="BM87" s="494"/>
      <c r="BN87" s="494"/>
      <c r="BO87" s="494"/>
      <c r="BP87" s="494"/>
      <c r="BQ87" s="494"/>
      <c r="BR87" s="494"/>
      <c r="BS87" s="494"/>
      <c r="BT87" s="494"/>
      <c r="BU87" s="494"/>
      <c r="BV87" s="494"/>
      <c r="BW87" s="494"/>
      <c r="BX87" s="494"/>
      <c r="BY87" s="494"/>
      <c r="BZ87" s="494"/>
      <c r="CA87" s="494"/>
      <c r="CB87" s="494"/>
      <c r="CC87" s="494"/>
      <c r="CD87" s="494"/>
      <c r="CE87" s="494"/>
      <c r="CF87" s="494"/>
      <c r="CG87" s="494"/>
      <c r="CH87" s="494"/>
      <c r="CI87" s="494"/>
      <c r="CJ87" s="494"/>
      <c r="CK87" s="494"/>
      <c r="CL87" s="494"/>
      <c r="CM87" s="494"/>
      <c r="CN87" s="494"/>
      <c r="CO87" s="494"/>
      <c r="CP87" s="494"/>
      <c r="CQ87" s="494"/>
      <c r="CR87" s="494"/>
      <c r="CS87" s="494"/>
      <c r="CT87" s="494"/>
      <c r="CU87" s="494"/>
      <c r="CV87" s="494"/>
      <c r="CW87" s="494"/>
      <c r="CX87" s="494"/>
      <c r="CY87" s="494"/>
      <c r="CZ87" s="494"/>
      <c r="DA87" s="494"/>
      <c r="DB87" s="494"/>
      <c r="DC87" s="494"/>
      <c r="DD87" s="494"/>
      <c r="DE87" s="494"/>
      <c r="DF87" s="494"/>
      <c r="DG87" s="494"/>
      <c r="DH87" s="494"/>
      <c r="DI87" s="494"/>
      <c r="DJ87" s="494"/>
      <c r="DK87" s="494"/>
      <c r="DL87" s="494"/>
      <c r="DM87" s="494"/>
      <c r="DN87" s="494"/>
      <c r="DO87" s="494"/>
      <c r="DP87" s="494"/>
      <c r="DQ87" s="494"/>
      <c r="DR87" s="494"/>
      <c r="DS87" s="494"/>
      <c r="DT87" s="494"/>
      <c r="DU87" s="494"/>
      <c r="DV87" s="494"/>
      <c r="DW87" s="494"/>
      <c r="DX87" s="494"/>
      <c r="DY87" s="494"/>
      <c r="DZ87" s="494"/>
      <c r="EA87" s="494"/>
      <c r="EB87" s="494"/>
      <c r="EC87" s="494"/>
      <c r="ED87" s="494"/>
      <c r="EE87" s="494"/>
      <c r="EF87" s="494"/>
      <c r="EG87" s="494"/>
      <c r="EH87" s="494"/>
      <c r="EI87" s="494"/>
      <c r="EJ87" s="494"/>
      <c r="EK87" s="494"/>
      <c r="EL87" s="494"/>
      <c r="EM87" s="494"/>
      <c r="EN87" s="494"/>
      <c r="EO87" s="494"/>
      <c r="EP87" s="494"/>
      <c r="EQ87" s="494"/>
      <c r="ER87" s="494"/>
      <c r="ES87" s="494"/>
      <c r="ET87" s="494"/>
      <c r="EU87" s="494"/>
      <c r="EV87" s="494"/>
      <c r="EW87" s="494"/>
      <c r="EX87" s="494"/>
      <c r="EY87" s="494"/>
      <c r="EZ87" s="494"/>
      <c r="FA87" s="494"/>
      <c r="FB87" s="494"/>
      <c r="FC87" s="494"/>
      <c r="FD87" s="494"/>
      <c r="FE87" s="494"/>
      <c r="FF87" s="494"/>
      <c r="FG87" s="494"/>
      <c r="FH87" s="494"/>
      <c r="FI87" s="494"/>
      <c r="FJ87" s="494"/>
      <c r="FK87" s="494"/>
      <c r="FL87" s="494"/>
      <c r="FM87" s="494"/>
      <c r="FN87" s="494"/>
      <c r="FO87" s="494"/>
      <c r="FP87" s="494"/>
      <c r="FQ87" s="494"/>
      <c r="FR87" s="494"/>
      <c r="FS87" s="494"/>
      <c r="FT87" s="494"/>
      <c r="FU87" s="494"/>
      <c r="FV87" s="494"/>
      <c r="FW87" s="494"/>
      <c r="FX87" s="494"/>
      <c r="FY87" s="494"/>
      <c r="FZ87" s="494"/>
      <c r="GA87" s="494"/>
      <c r="GB87" s="494"/>
      <c r="GC87" s="494"/>
      <c r="GD87" s="494"/>
    </row>
    <row r="88" spans="1:186" ht="19.5" customHeight="1" thickBot="1">
      <c r="A88" s="188" t="str">
        <f>IF(O87=0,"ESTE BOBINADO NO EXISTE   /   THIS WINDING DOESN'T EXIST","")</f>
        <v/>
      </c>
      <c r="B88" s="189"/>
      <c r="C88" s="189"/>
      <c r="D88" s="189"/>
      <c r="E88" s="189"/>
      <c r="F88" s="189"/>
      <c r="G88" s="189"/>
      <c r="H88" s="189"/>
      <c r="I88" s="189"/>
      <c r="J88" s="189"/>
      <c r="K88" s="189"/>
      <c r="L88" s="189"/>
      <c r="M88" s="189"/>
      <c r="N88" s="189"/>
      <c r="O88" s="520"/>
      <c r="P88" s="521"/>
      <c r="Q88" s="521"/>
      <c r="R88" s="499"/>
      <c r="S88" s="522"/>
      <c r="T88" s="492"/>
      <c r="U88" s="497"/>
      <c r="V88" s="497"/>
      <c r="W88" s="497"/>
      <c r="X88" s="492"/>
      <c r="Y88" s="492"/>
      <c r="Z88" s="492"/>
      <c r="AA88" s="492"/>
      <c r="AB88" s="492"/>
      <c r="AC88" s="492"/>
      <c r="AD88" s="492"/>
      <c r="AE88" s="492"/>
      <c r="AF88" s="492"/>
      <c r="AG88" s="492"/>
      <c r="AH88" s="493"/>
      <c r="AI88" s="493"/>
      <c r="AJ88" s="493"/>
      <c r="AK88" s="493"/>
      <c r="AL88" s="493"/>
      <c r="AM88" s="493"/>
      <c r="AN88" s="493"/>
      <c r="AO88" s="493"/>
      <c r="AP88" s="493"/>
      <c r="AQ88" s="493"/>
      <c r="AR88" s="493"/>
      <c r="AS88" s="493"/>
      <c r="AT88" s="493"/>
      <c r="AU88" s="493"/>
      <c r="AV88" s="493"/>
      <c r="AW88" s="493"/>
      <c r="AX88" s="493"/>
      <c r="AY88" s="493"/>
      <c r="AZ88" s="493"/>
      <c r="BA88" s="493"/>
      <c r="BB88" s="493"/>
      <c r="BC88" s="493"/>
      <c r="BD88" s="493"/>
      <c r="BE88" s="493"/>
      <c r="BF88" s="493"/>
      <c r="BG88" s="493"/>
      <c r="BH88" s="493"/>
      <c r="BI88" s="493"/>
      <c r="BJ88" s="493"/>
      <c r="BK88" s="493"/>
      <c r="BL88" s="493"/>
      <c r="BM88" s="493"/>
      <c r="BN88" s="493"/>
      <c r="BO88" s="493"/>
      <c r="BP88" s="493"/>
      <c r="BQ88" s="493"/>
      <c r="BR88" s="493"/>
      <c r="BS88" s="493"/>
      <c r="BT88" s="493"/>
      <c r="BU88" s="493"/>
      <c r="BV88" s="493"/>
      <c r="BW88" s="493"/>
      <c r="BX88" s="493"/>
      <c r="BY88" s="493"/>
      <c r="BZ88" s="493"/>
      <c r="CA88" s="493"/>
      <c r="CB88" s="493"/>
      <c r="CC88" s="493"/>
      <c r="CD88" s="493"/>
      <c r="CE88" s="493"/>
      <c r="CF88" s="493"/>
      <c r="CG88" s="493"/>
      <c r="CH88" s="493"/>
      <c r="CI88" s="493"/>
      <c r="CJ88" s="493"/>
      <c r="CK88" s="493"/>
      <c r="CL88" s="493"/>
      <c r="CM88" s="493"/>
      <c r="CN88" s="493"/>
      <c r="CO88" s="493"/>
      <c r="CP88" s="493"/>
      <c r="CQ88" s="493"/>
      <c r="CR88" s="493"/>
      <c r="CS88" s="493"/>
      <c r="CT88" s="493"/>
      <c r="CU88" s="493"/>
      <c r="CV88" s="493"/>
      <c r="CW88" s="493"/>
      <c r="CX88" s="493"/>
      <c r="CY88" s="493"/>
      <c r="CZ88" s="493"/>
      <c r="DA88" s="493"/>
      <c r="DB88" s="493"/>
      <c r="DC88" s="493"/>
      <c r="DD88" s="493"/>
      <c r="DE88" s="493"/>
      <c r="DF88" s="493"/>
      <c r="DG88" s="493"/>
      <c r="DH88" s="493"/>
      <c r="DI88" s="493"/>
      <c r="DJ88" s="493"/>
      <c r="DK88" s="493"/>
      <c r="DL88" s="493"/>
      <c r="DM88" s="493"/>
      <c r="DN88" s="493"/>
      <c r="DO88" s="493"/>
      <c r="DP88" s="493"/>
      <c r="DQ88" s="493"/>
      <c r="DR88" s="493"/>
      <c r="DS88" s="493"/>
      <c r="DT88" s="493"/>
      <c r="DU88" s="493"/>
      <c r="DV88" s="493"/>
      <c r="DW88" s="493"/>
      <c r="DX88" s="493"/>
      <c r="DY88" s="493"/>
      <c r="DZ88" s="493"/>
      <c r="EA88" s="493"/>
      <c r="EB88" s="493"/>
      <c r="EC88" s="493"/>
      <c r="ED88" s="493"/>
      <c r="EE88" s="493"/>
      <c r="EF88" s="493"/>
      <c r="EG88" s="493"/>
      <c r="EH88" s="493"/>
      <c r="EI88" s="493"/>
      <c r="EJ88" s="493"/>
      <c r="EK88" s="493"/>
      <c r="EL88" s="493"/>
      <c r="EM88" s="493"/>
      <c r="EN88" s="493"/>
      <c r="EO88" s="493"/>
      <c r="EP88" s="493"/>
      <c r="EQ88" s="493"/>
      <c r="ER88" s="493"/>
      <c r="ES88" s="493"/>
      <c r="ET88" s="493"/>
      <c r="EU88" s="493"/>
      <c r="EV88" s="493"/>
      <c r="EW88" s="493"/>
      <c r="EX88" s="493"/>
      <c r="EY88" s="493"/>
      <c r="EZ88" s="493"/>
      <c r="FA88" s="493"/>
      <c r="FB88" s="493"/>
      <c r="FC88" s="493"/>
      <c r="FD88" s="493"/>
      <c r="FE88" s="493"/>
      <c r="FF88" s="493"/>
      <c r="FG88" s="493"/>
      <c r="FH88" s="493"/>
      <c r="FI88" s="493"/>
      <c r="FJ88" s="493"/>
      <c r="FK88" s="493"/>
      <c r="FL88" s="493"/>
      <c r="FM88" s="493"/>
      <c r="FN88" s="493"/>
      <c r="FO88" s="493"/>
      <c r="FP88" s="493"/>
      <c r="FQ88" s="493"/>
      <c r="FR88" s="493"/>
      <c r="FS88" s="493"/>
      <c r="FT88" s="493"/>
      <c r="FU88" s="493"/>
      <c r="FV88" s="493"/>
      <c r="FW88" s="493"/>
      <c r="FX88" s="493"/>
      <c r="FY88" s="493"/>
      <c r="FZ88" s="493"/>
      <c r="GA88" s="493"/>
      <c r="GB88" s="493"/>
      <c r="GC88" s="493"/>
      <c r="GD88" s="493"/>
    </row>
    <row r="89" spans="1:186" ht="15" customHeight="1">
      <c r="A89" s="617" t="s">
        <v>108</v>
      </c>
      <c r="B89" s="618"/>
      <c r="C89" s="619"/>
      <c r="D89" s="189"/>
      <c r="E89" s="189"/>
      <c r="F89" s="189"/>
      <c r="G89" s="189"/>
      <c r="H89" s="189"/>
      <c r="I89" s="189"/>
      <c r="J89" s="189"/>
      <c r="K89" s="189"/>
      <c r="L89" s="189"/>
      <c r="M89" s="189"/>
      <c r="N89" s="189"/>
      <c r="O89" s="501"/>
      <c r="P89" s="521"/>
      <c r="Q89" s="521"/>
      <c r="R89" s="521"/>
      <c r="S89" s="522"/>
      <c r="T89" s="492"/>
      <c r="U89" s="497"/>
      <c r="V89" s="497"/>
      <c r="W89" s="497"/>
      <c r="X89" s="492"/>
      <c r="Y89" s="492"/>
      <c r="Z89" s="492"/>
      <c r="AA89" s="492"/>
      <c r="AB89" s="492"/>
      <c r="AC89" s="492"/>
      <c r="AD89" s="492"/>
      <c r="AE89" s="492"/>
      <c r="AF89" s="492"/>
      <c r="AG89" s="492"/>
      <c r="AH89" s="493"/>
      <c r="AI89" s="493"/>
      <c r="AJ89" s="493"/>
      <c r="AK89" s="493"/>
      <c r="AL89" s="493"/>
      <c r="AM89" s="493"/>
      <c r="AN89" s="493"/>
      <c r="AO89" s="493"/>
      <c r="AP89" s="493"/>
      <c r="AQ89" s="493"/>
      <c r="AR89" s="493"/>
      <c r="AS89" s="493"/>
      <c r="AT89" s="493"/>
      <c r="AU89" s="493"/>
      <c r="AV89" s="493"/>
      <c r="AW89" s="493"/>
      <c r="AX89" s="493"/>
      <c r="AY89" s="493"/>
      <c r="AZ89" s="493"/>
      <c r="BA89" s="493"/>
      <c r="BB89" s="493"/>
      <c r="BC89" s="493"/>
      <c r="BD89" s="493"/>
      <c r="BE89" s="493"/>
      <c r="BF89" s="493"/>
      <c r="BG89" s="493"/>
      <c r="BH89" s="493"/>
      <c r="BI89" s="493"/>
      <c r="BJ89" s="493"/>
      <c r="BK89" s="493"/>
      <c r="BL89" s="493"/>
      <c r="BM89" s="493"/>
      <c r="BN89" s="493"/>
      <c r="BO89" s="493"/>
      <c r="BP89" s="493"/>
      <c r="BQ89" s="493"/>
      <c r="BR89" s="493"/>
      <c r="BS89" s="493"/>
      <c r="BT89" s="493"/>
      <c r="BU89" s="493"/>
      <c r="BV89" s="493"/>
      <c r="BW89" s="493"/>
      <c r="BX89" s="493"/>
      <c r="BY89" s="493"/>
      <c r="BZ89" s="493"/>
      <c r="CA89" s="493"/>
      <c r="CB89" s="493"/>
      <c r="CC89" s="493"/>
      <c r="CD89" s="493"/>
      <c r="CE89" s="493"/>
      <c r="CF89" s="493"/>
      <c r="CG89" s="493"/>
      <c r="CH89" s="493"/>
      <c r="CI89" s="493"/>
      <c r="CJ89" s="493"/>
      <c r="CK89" s="493"/>
      <c r="CL89" s="493"/>
      <c r="CM89" s="493"/>
      <c r="CN89" s="493"/>
      <c r="CO89" s="493"/>
      <c r="CP89" s="493"/>
      <c r="CQ89" s="493"/>
      <c r="CR89" s="493"/>
      <c r="CS89" s="493"/>
      <c r="CT89" s="493"/>
      <c r="CU89" s="493"/>
      <c r="CV89" s="493"/>
      <c r="CW89" s="493"/>
      <c r="CX89" s="493"/>
      <c r="CY89" s="493"/>
      <c r="CZ89" s="493"/>
      <c r="DA89" s="493"/>
      <c r="DB89" s="493"/>
      <c r="DC89" s="493"/>
      <c r="DD89" s="493"/>
      <c r="DE89" s="493"/>
      <c r="DF89" s="493"/>
      <c r="DG89" s="493"/>
      <c r="DH89" s="493"/>
      <c r="DI89" s="493"/>
      <c r="DJ89" s="493"/>
      <c r="DK89" s="493"/>
      <c r="DL89" s="493"/>
      <c r="DM89" s="493"/>
      <c r="DN89" s="493"/>
      <c r="DO89" s="493"/>
      <c r="DP89" s="493"/>
      <c r="DQ89" s="493"/>
      <c r="DR89" s="493"/>
      <c r="DS89" s="493"/>
      <c r="DT89" s="493"/>
      <c r="DU89" s="493"/>
      <c r="DV89" s="493"/>
      <c r="DW89" s="493"/>
      <c r="DX89" s="493"/>
      <c r="DY89" s="493"/>
      <c r="DZ89" s="493"/>
      <c r="EA89" s="493"/>
      <c r="EB89" s="493"/>
      <c r="EC89" s="493"/>
      <c r="ED89" s="493"/>
      <c r="EE89" s="493"/>
      <c r="EF89" s="493"/>
      <c r="EG89" s="493"/>
      <c r="EH89" s="493"/>
      <c r="EI89" s="493"/>
      <c r="EJ89" s="493"/>
      <c r="EK89" s="493"/>
      <c r="EL89" s="493"/>
      <c r="EM89" s="493"/>
      <c r="EN89" s="493"/>
      <c r="EO89" s="493"/>
      <c r="EP89" s="493"/>
      <c r="EQ89" s="493"/>
      <c r="ER89" s="493"/>
      <c r="ES89" s="493"/>
      <c r="ET89" s="493"/>
      <c r="EU89" s="493"/>
      <c r="EV89" s="493"/>
      <c r="EW89" s="493"/>
      <c r="EX89" s="493"/>
      <c r="EY89" s="493"/>
      <c r="EZ89" s="493"/>
      <c r="FA89" s="493"/>
      <c r="FB89" s="493"/>
      <c r="FC89" s="493"/>
      <c r="FD89" s="493"/>
      <c r="FE89" s="493"/>
      <c r="FF89" s="493"/>
      <c r="FG89" s="493"/>
      <c r="FH89" s="493"/>
      <c r="FI89" s="493"/>
      <c r="FJ89" s="493"/>
      <c r="FK89" s="493"/>
      <c r="FL89" s="493"/>
      <c r="FM89" s="493"/>
      <c r="FN89" s="493"/>
      <c r="FO89" s="493"/>
      <c r="FP89" s="493"/>
      <c r="FQ89" s="493"/>
      <c r="FR89" s="493"/>
      <c r="FS89" s="493"/>
      <c r="FT89" s="493"/>
      <c r="FU89" s="493"/>
      <c r="FV89" s="493"/>
      <c r="FW89" s="493"/>
      <c r="FX89" s="493"/>
      <c r="FY89" s="493"/>
      <c r="FZ89" s="493"/>
      <c r="GA89" s="493"/>
      <c r="GB89" s="493"/>
      <c r="GC89" s="493"/>
      <c r="GD89" s="493"/>
    </row>
    <row r="90" spans="1:186" ht="15" customHeight="1" thickBot="1">
      <c r="A90" s="598"/>
      <c r="B90" s="599"/>
      <c r="C90" s="600"/>
      <c r="D90" s="189"/>
      <c r="E90" s="189"/>
      <c r="F90" s="189"/>
      <c r="G90" s="189"/>
      <c r="H90" s="189"/>
      <c r="I90" s="189"/>
      <c r="J90" s="189"/>
      <c r="K90" s="189"/>
      <c r="L90" s="189"/>
      <c r="M90" s="189"/>
      <c r="N90" s="189"/>
      <c r="O90" s="523"/>
      <c r="P90" s="524"/>
      <c r="Q90" s="524"/>
      <c r="R90" s="525"/>
      <c r="S90" s="522"/>
      <c r="T90" s="492"/>
      <c r="U90" s="497"/>
      <c r="V90" s="497"/>
      <c r="W90" s="497"/>
      <c r="X90" s="492"/>
      <c r="Y90" s="492"/>
      <c r="Z90" s="492"/>
      <c r="AA90" s="492"/>
      <c r="AB90" s="492"/>
      <c r="AC90" s="492"/>
      <c r="AD90" s="492"/>
      <c r="AE90" s="492"/>
      <c r="AF90" s="492"/>
      <c r="AG90" s="492"/>
      <c r="AH90" s="493"/>
      <c r="AI90" s="493"/>
      <c r="AJ90" s="493"/>
      <c r="AK90" s="493"/>
      <c r="AL90" s="493"/>
      <c r="AM90" s="493"/>
      <c r="AN90" s="493"/>
      <c r="AO90" s="493"/>
      <c r="AP90" s="493"/>
      <c r="AQ90" s="493"/>
      <c r="AR90" s="493"/>
      <c r="AS90" s="493"/>
      <c r="AT90" s="493"/>
      <c r="AU90" s="493"/>
      <c r="AV90" s="493"/>
      <c r="AW90" s="493"/>
      <c r="AX90" s="493"/>
      <c r="AY90" s="493"/>
      <c r="AZ90" s="493"/>
      <c r="BA90" s="493"/>
      <c r="BB90" s="493"/>
      <c r="BC90" s="493"/>
      <c r="BD90" s="493"/>
      <c r="BE90" s="493"/>
      <c r="BF90" s="493"/>
      <c r="BG90" s="493"/>
      <c r="BH90" s="493"/>
      <c r="BI90" s="493"/>
      <c r="BJ90" s="493"/>
      <c r="BK90" s="493"/>
      <c r="BL90" s="493"/>
      <c r="BM90" s="493"/>
      <c r="BN90" s="493"/>
      <c r="BO90" s="493"/>
      <c r="BP90" s="493"/>
      <c r="BQ90" s="493"/>
      <c r="BR90" s="493"/>
      <c r="BS90" s="493"/>
      <c r="BT90" s="493"/>
      <c r="BU90" s="493"/>
      <c r="BV90" s="493"/>
      <c r="BW90" s="493"/>
      <c r="BX90" s="493"/>
      <c r="BY90" s="493"/>
      <c r="BZ90" s="493"/>
      <c r="CA90" s="493"/>
      <c r="CB90" s="493"/>
      <c r="CC90" s="493"/>
      <c r="CD90" s="493"/>
      <c r="CE90" s="493"/>
      <c r="CF90" s="493"/>
      <c r="CG90" s="493"/>
      <c r="CH90" s="493"/>
      <c r="CI90" s="493"/>
      <c r="CJ90" s="493"/>
      <c r="CK90" s="493"/>
      <c r="CL90" s="493"/>
      <c r="CM90" s="493"/>
      <c r="CN90" s="493"/>
      <c r="CO90" s="493"/>
      <c r="CP90" s="493"/>
      <c r="CQ90" s="493"/>
      <c r="CR90" s="493"/>
      <c r="CS90" s="493"/>
      <c r="CT90" s="493"/>
      <c r="CU90" s="493"/>
      <c r="CV90" s="493"/>
      <c r="CW90" s="493"/>
      <c r="CX90" s="493"/>
      <c r="CY90" s="493"/>
      <c r="CZ90" s="493"/>
      <c r="DA90" s="493"/>
      <c r="DB90" s="493"/>
      <c r="DC90" s="493"/>
      <c r="DD90" s="493"/>
      <c r="DE90" s="493"/>
      <c r="DF90" s="493"/>
      <c r="DG90" s="493"/>
      <c r="DH90" s="493"/>
      <c r="DI90" s="493"/>
      <c r="DJ90" s="493"/>
      <c r="DK90" s="493"/>
      <c r="DL90" s="493"/>
      <c r="DM90" s="493"/>
      <c r="DN90" s="493"/>
      <c r="DO90" s="493"/>
      <c r="DP90" s="493"/>
      <c r="DQ90" s="493"/>
      <c r="DR90" s="493"/>
      <c r="DS90" s="493"/>
      <c r="DT90" s="493"/>
      <c r="DU90" s="493"/>
      <c r="DV90" s="493"/>
      <c r="DW90" s="493"/>
      <c r="DX90" s="493"/>
      <c r="DY90" s="493"/>
      <c r="DZ90" s="493"/>
      <c r="EA90" s="493"/>
      <c r="EB90" s="493"/>
      <c r="EC90" s="493"/>
      <c r="ED90" s="493"/>
      <c r="EE90" s="493"/>
      <c r="EF90" s="493"/>
      <c r="EG90" s="493"/>
      <c r="EH90" s="493"/>
      <c r="EI90" s="493"/>
      <c r="EJ90" s="493"/>
      <c r="EK90" s="493"/>
      <c r="EL90" s="493"/>
      <c r="EM90" s="493"/>
      <c r="EN90" s="493"/>
      <c r="EO90" s="493"/>
      <c r="EP90" s="493"/>
      <c r="EQ90" s="493"/>
      <c r="ER90" s="493"/>
      <c r="ES90" s="493"/>
      <c r="ET90" s="493"/>
      <c r="EU90" s="493"/>
      <c r="EV90" s="493"/>
      <c r="EW90" s="493"/>
      <c r="EX90" s="493"/>
      <c r="EY90" s="493"/>
      <c r="EZ90" s="493"/>
      <c r="FA90" s="493"/>
      <c r="FB90" s="493"/>
      <c r="FC90" s="493"/>
      <c r="FD90" s="493"/>
      <c r="FE90" s="493"/>
      <c r="FF90" s="493"/>
      <c r="FG90" s="493"/>
      <c r="FH90" s="493"/>
      <c r="FI90" s="493"/>
      <c r="FJ90" s="493"/>
      <c r="FK90" s="493"/>
      <c r="FL90" s="493"/>
      <c r="FM90" s="493"/>
      <c r="FN90" s="493"/>
      <c r="FO90" s="493"/>
      <c r="FP90" s="493"/>
      <c r="FQ90" s="493"/>
      <c r="FR90" s="493"/>
      <c r="FS90" s="493"/>
      <c r="FT90" s="493"/>
      <c r="FU90" s="493"/>
      <c r="FV90" s="493"/>
      <c r="FW90" s="493"/>
      <c r="FX90" s="493"/>
      <c r="FY90" s="493"/>
      <c r="FZ90" s="493"/>
      <c r="GA90" s="493"/>
      <c r="GB90" s="493"/>
      <c r="GC90" s="493"/>
      <c r="GD90" s="493"/>
    </row>
    <row r="91" spans="1:186" ht="15" customHeight="1" thickBot="1">
      <c r="A91" s="359" t="s">
        <v>82</v>
      </c>
      <c r="B91" s="359" t="s">
        <v>109</v>
      </c>
      <c r="C91" s="359" t="s">
        <v>110</v>
      </c>
      <c r="D91" s="189"/>
      <c r="E91" s="189"/>
      <c r="F91" s="189"/>
      <c r="G91" s="189"/>
      <c r="H91" s="189"/>
      <c r="I91" s="189"/>
      <c r="J91" s="189"/>
      <c r="K91" s="189"/>
      <c r="L91" s="189"/>
      <c r="M91" s="189"/>
      <c r="N91" s="189"/>
      <c r="O91" s="523"/>
      <c r="P91" s="520"/>
      <c r="Q91" s="520"/>
      <c r="R91" s="526"/>
      <c r="S91" s="522"/>
      <c r="T91" s="492"/>
      <c r="U91" s="497"/>
      <c r="V91" s="497"/>
      <c r="W91" s="497"/>
      <c r="X91" s="492"/>
      <c r="Y91" s="492"/>
      <c r="Z91" s="492"/>
      <c r="AA91" s="492"/>
      <c r="AB91" s="492"/>
      <c r="AC91" s="492"/>
      <c r="AD91" s="492"/>
      <c r="AE91" s="492"/>
      <c r="AF91" s="492"/>
      <c r="AG91" s="492"/>
      <c r="AH91" s="493"/>
      <c r="AI91" s="493"/>
      <c r="AJ91" s="493"/>
      <c r="AK91" s="493"/>
      <c r="AL91" s="493"/>
      <c r="AM91" s="493"/>
      <c r="AN91" s="493"/>
      <c r="AO91" s="493"/>
      <c r="AP91" s="493"/>
      <c r="AQ91" s="493"/>
      <c r="AR91" s="493"/>
      <c r="AS91" s="493"/>
      <c r="AT91" s="493"/>
      <c r="AU91" s="493"/>
      <c r="AV91" s="493"/>
      <c r="AW91" s="493"/>
      <c r="AX91" s="493"/>
      <c r="AY91" s="493"/>
      <c r="AZ91" s="493"/>
      <c r="BA91" s="493"/>
      <c r="BB91" s="493"/>
      <c r="BC91" s="493"/>
      <c r="BD91" s="493"/>
      <c r="BE91" s="493"/>
      <c r="BF91" s="493"/>
      <c r="BG91" s="493"/>
      <c r="BH91" s="493"/>
      <c r="BI91" s="493"/>
      <c r="BJ91" s="493"/>
      <c r="BK91" s="493"/>
      <c r="BL91" s="493"/>
      <c r="BM91" s="493"/>
      <c r="BN91" s="493"/>
      <c r="BO91" s="493"/>
      <c r="BP91" s="493"/>
      <c r="BQ91" s="493"/>
      <c r="BR91" s="493"/>
      <c r="BS91" s="493"/>
      <c r="BT91" s="493"/>
      <c r="BU91" s="493"/>
      <c r="BV91" s="493"/>
      <c r="BW91" s="493"/>
      <c r="BX91" s="493"/>
      <c r="BY91" s="493"/>
      <c r="BZ91" s="493"/>
      <c r="CA91" s="493"/>
      <c r="CB91" s="493"/>
      <c r="CC91" s="493"/>
      <c r="CD91" s="493"/>
      <c r="CE91" s="493"/>
      <c r="CF91" s="493"/>
      <c r="CG91" s="493"/>
      <c r="CH91" s="493"/>
      <c r="CI91" s="493"/>
      <c r="CJ91" s="493"/>
      <c r="CK91" s="493"/>
      <c r="CL91" s="493"/>
      <c r="CM91" s="493"/>
      <c r="CN91" s="493"/>
      <c r="CO91" s="493"/>
      <c r="CP91" s="493"/>
      <c r="CQ91" s="493"/>
      <c r="CR91" s="493"/>
      <c r="CS91" s="493"/>
      <c r="CT91" s="493"/>
      <c r="CU91" s="493"/>
      <c r="CV91" s="493"/>
      <c r="CW91" s="493"/>
      <c r="CX91" s="493"/>
      <c r="CY91" s="493"/>
      <c r="CZ91" s="493"/>
      <c r="DA91" s="493"/>
      <c r="DB91" s="493"/>
      <c r="DC91" s="493"/>
      <c r="DD91" s="493"/>
      <c r="DE91" s="493"/>
      <c r="DF91" s="493"/>
      <c r="DG91" s="493"/>
      <c r="DH91" s="493"/>
      <c r="DI91" s="493"/>
      <c r="DJ91" s="493"/>
      <c r="DK91" s="493"/>
      <c r="DL91" s="493"/>
      <c r="DM91" s="493"/>
      <c r="DN91" s="493"/>
      <c r="DO91" s="493"/>
      <c r="DP91" s="493"/>
      <c r="DQ91" s="493"/>
      <c r="DR91" s="493"/>
      <c r="DS91" s="493"/>
      <c r="DT91" s="493"/>
      <c r="DU91" s="493"/>
      <c r="DV91" s="493"/>
      <c r="DW91" s="493"/>
      <c r="DX91" s="493"/>
      <c r="DY91" s="493"/>
      <c r="DZ91" s="493"/>
      <c r="EA91" s="493"/>
      <c r="EB91" s="493"/>
      <c r="EC91" s="493"/>
      <c r="ED91" s="493"/>
      <c r="EE91" s="493"/>
      <c r="EF91" s="493"/>
      <c r="EG91" s="493"/>
      <c r="EH91" s="493"/>
      <c r="EI91" s="493"/>
      <c r="EJ91" s="493"/>
      <c r="EK91" s="493"/>
      <c r="EL91" s="493"/>
      <c r="EM91" s="493"/>
      <c r="EN91" s="493"/>
      <c r="EO91" s="493"/>
      <c r="EP91" s="493"/>
      <c r="EQ91" s="493"/>
      <c r="ER91" s="493"/>
      <c r="ES91" s="493"/>
      <c r="ET91" s="493"/>
      <c r="EU91" s="493"/>
      <c r="EV91" s="493"/>
      <c r="EW91" s="493"/>
      <c r="EX91" s="493"/>
      <c r="EY91" s="493"/>
      <c r="EZ91" s="493"/>
      <c r="FA91" s="493"/>
      <c r="FB91" s="493"/>
      <c r="FC91" s="493"/>
      <c r="FD91" s="493"/>
      <c r="FE91" s="493"/>
      <c r="FF91" s="493"/>
      <c r="FG91" s="493"/>
      <c r="FH91" s="493"/>
      <c r="FI91" s="493"/>
      <c r="FJ91" s="493"/>
      <c r="FK91" s="493"/>
      <c r="FL91" s="493"/>
      <c r="FM91" s="493"/>
      <c r="FN91" s="493"/>
      <c r="FO91" s="493"/>
      <c r="FP91" s="493"/>
      <c r="FQ91" s="493"/>
      <c r="FR91" s="493"/>
      <c r="FS91" s="493"/>
      <c r="FT91" s="493"/>
      <c r="FU91" s="493"/>
      <c r="FV91" s="493"/>
      <c r="FW91" s="493"/>
      <c r="FX91" s="493"/>
      <c r="FY91" s="493"/>
      <c r="FZ91" s="493"/>
      <c r="GA91" s="493"/>
      <c r="GB91" s="493"/>
      <c r="GC91" s="493"/>
      <c r="GD91" s="493"/>
    </row>
    <row r="92" spans="1:186" ht="15" customHeight="1">
      <c r="A92" s="360"/>
      <c r="B92" s="361"/>
      <c r="C92" s="362"/>
      <c r="D92" s="189"/>
      <c r="E92" s="189"/>
      <c r="F92" s="189"/>
      <c r="G92" s="189"/>
      <c r="H92" s="189"/>
      <c r="I92" s="189"/>
      <c r="J92" s="189"/>
      <c r="K92" s="189"/>
      <c r="L92" s="189"/>
      <c r="M92" s="189"/>
      <c r="N92" s="189"/>
      <c r="O92" s="523"/>
      <c r="P92" s="520"/>
      <c r="Q92" s="520"/>
      <c r="R92" s="526"/>
      <c r="S92" s="522"/>
      <c r="T92" s="492"/>
      <c r="U92" s="497"/>
      <c r="V92" s="497"/>
      <c r="W92" s="497"/>
      <c r="X92" s="492"/>
      <c r="Y92" s="492"/>
      <c r="Z92" s="492"/>
      <c r="AA92" s="492"/>
      <c r="AB92" s="492"/>
      <c r="AC92" s="492"/>
      <c r="AD92" s="492"/>
      <c r="AE92" s="492"/>
      <c r="AF92" s="492"/>
      <c r="AG92" s="492"/>
      <c r="AH92" s="493"/>
      <c r="AI92" s="493"/>
      <c r="AJ92" s="493"/>
      <c r="AK92" s="493"/>
      <c r="AL92" s="493"/>
      <c r="AM92" s="493"/>
      <c r="AN92" s="493"/>
      <c r="AO92" s="493"/>
      <c r="AP92" s="493"/>
      <c r="AQ92" s="493"/>
      <c r="AR92" s="493"/>
      <c r="AS92" s="493"/>
      <c r="AT92" s="493"/>
      <c r="AU92" s="493"/>
      <c r="AV92" s="493"/>
      <c r="AW92" s="493"/>
      <c r="AX92" s="493"/>
      <c r="AY92" s="493"/>
      <c r="AZ92" s="493"/>
      <c r="BA92" s="493"/>
      <c r="BB92" s="493"/>
      <c r="BC92" s="493"/>
      <c r="BD92" s="493"/>
      <c r="BE92" s="493"/>
      <c r="BF92" s="493"/>
      <c r="BG92" s="493"/>
      <c r="BH92" s="493"/>
      <c r="BI92" s="493"/>
      <c r="BJ92" s="493"/>
      <c r="BK92" s="493"/>
      <c r="BL92" s="493"/>
      <c r="BM92" s="493"/>
      <c r="BN92" s="493"/>
      <c r="BO92" s="493"/>
      <c r="BP92" s="493"/>
      <c r="BQ92" s="493"/>
      <c r="BR92" s="493"/>
      <c r="BS92" s="493"/>
      <c r="BT92" s="493"/>
      <c r="BU92" s="493"/>
      <c r="BV92" s="493"/>
      <c r="BW92" s="493"/>
      <c r="BX92" s="493"/>
      <c r="BY92" s="493"/>
      <c r="BZ92" s="493"/>
      <c r="CA92" s="493"/>
      <c r="CB92" s="493"/>
      <c r="CC92" s="493"/>
      <c r="CD92" s="493"/>
      <c r="CE92" s="493"/>
      <c r="CF92" s="493"/>
      <c r="CG92" s="493"/>
      <c r="CH92" s="493"/>
      <c r="CI92" s="493"/>
      <c r="CJ92" s="493"/>
      <c r="CK92" s="493"/>
      <c r="CL92" s="493"/>
      <c r="CM92" s="493"/>
      <c r="CN92" s="493"/>
      <c r="CO92" s="493"/>
      <c r="CP92" s="493"/>
      <c r="CQ92" s="493"/>
      <c r="CR92" s="493"/>
      <c r="CS92" s="493"/>
      <c r="CT92" s="493"/>
      <c r="CU92" s="493"/>
      <c r="CV92" s="493"/>
      <c r="CW92" s="493"/>
      <c r="CX92" s="493"/>
      <c r="CY92" s="493"/>
      <c r="CZ92" s="493"/>
      <c r="DA92" s="493"/>
      <c r="DB92" s="493"/>
      <c r="DC92" s="493"/>
      <c r="DD92" s="493"/>
      <c r="DE92" s="493"/>
      <c r="DF92" s="493"/>
      <c r="DG92" s="493"/>
      <c r="DH92" s="493"/>
      <c r="DI92" s="493"/>
      <c r="DJ92" s="493"/>
      <c r="DK92" s="493"/>
      <c r="DL92" s="493"/>
      <c r="DM92" s="493"/>
      <c r="DN92" s="493"/>
      <c r="DO92" s="493"/>
      <c r="DP92" s="493"/>
      <c r="DQ92" s="493"/>
      <c r="DR92" s="493"/>
      <c r="DS92" s="493"/>
      <c r="DT92" s="493"/>
      <c r="DU92" s="493"/>
      <c r="DV92" s="493"/>
      <c r="DW92" s="493"/>
      <c r="DX92" s="493"/>
      <c r="DY92" s="493"/>
      <c r="DZ92" s="493"/>
      <c r="EA92" s="493"/>
      <c r="EB92" s="493"/>
      <c r="EC92" s="493"/>
      <c r="ED92" s="493"/>
      <c r="EE92" s="493"/>
      <c r="EF92" s="493"/>
      <c r="EG92" s="493"/>
      <c r="EH92" s="493"/>
      <c r="EI92" s="493"/>
      <c r="EJ92" s="493"/>
      <c r="EK92" s="493"/>
      <c r="EL92" s="493"/>
      <c r="EM92" s="493"/>
      <c r="EN92" s="493"/>
      <c r="EO92" s="493"/>
      <c r="EP92" s="493"/>
      <c r="EQ92" s="493"/>
      <c r="ER92" s="493"/>
      <c r="ES92" s="493"/>
      <c r="ET92" s="493"/>
      <c r="EU92" s="493"/>
      <c r="EV92" s="493"/>
      <c r="EW92" s="493"/>
      <c r="EX92" s="493"/>
      <c r="EY92" s="493"/>
      <c r="EZ92" s="493"/>
      <c r="FA92" s="493"/>
      <c r="FB92" s="493"/>
      <c r="FC92" s="493"/>
      <c r="FD92" s="493"/>
      <c r="FE92" s="493"/>
      <c r="FF92" s="493"/>
      <c r="FG92" s="493"/>
      <c r="FH92" s="493"/>
      <c r="FI92" s="493"/>
      <c r="FJ92" s="493"/>
      <c r="FK92" s="493"/>
      <c r="FL92" s="493"/>
      <c r="FM92" s="493"/>
      <c r="FN92" s="493"/>
      <c r="FO92" s="493"/>
      <c r="FP92" s="493"/>
      <c r="FQ92" s="493"/>
      <c r="FR92" s="493"/>
      <c r="FS92" s="493"/>
      <c r="FT92" s="493"/>
      <c r="FU92" s="493"/>
      <c r="FV92" s="493"/>
      <c r="FW92" s="493"/>
      <c r="FX92" s="493"/>
      <c r="FY92" s="493"/>
      <c r="FZ92" s="493"/>
      <c r="GA92" s="493"/>
      <c r="GB92" s="493"/>
      <c r="GC92" s="493"/>
      <c r="GD92" s="493"/>
    </row>
    <row r="93" spans="1:186" ht="15" customHeight="1">
      <c r="A93" s="363"/>
      <c r="B93" s="364"/>
      <c r="C93" s="365"/>
      <c r="D93" s="189"/>
      <c r="E93" s="189"/>
      <c r="F93" s="189"/>
      <c r="G93" s="189"/>
      <c r="H93" s="189"/>
      <c r="I93" s="189"/>
      <c r="J93" s="189"/>
      <c r="K93" s="189"/>
      <c r="L93" s="189"/>
      <c r="M93" s="189"/>
      <c r="N93" s="189"/>
      <c r="O93" s="523"/>
      <c r="P93" s="520"/>
      <c r="Q93" s="520"/>
      <c r="R93" s="525"/>
      <c r="S93" s="522"/>
      <c r="T93" s="492"/>
      <c r="U93" s="497"/>
      <c r="V93" s="497"/>
      <c r="W93" s="497"/>
      <c r="X93" s="492"/>
      <c r="Y93" s="492"/>
      <c r="Z93" s="492"/>
      <c r="AA93" s="492"/>
      <c r="AB93" s="492"/>
      <c r="AC93" s="492"/>
      <c r="AD93" s="492"/>
      <c r="AE93" s="492"/>
      <c r="AF93" s="492"/>
      <c r="AG93" s="492"/>
      <c r="AH93" s="493"/>
      <c r="AI93" s="493"/>
      <c r="AJ93" s="493"/>
      <c r="AK93" s="493"/>
      <c r="AL93" s="493"/>
      <c r="AM93" s="493"/>
      <c r="AN93" s="493"/>
      <c r="AO93" s="493"/>
      <c r="AP93" s="493"/>
      <c r="AQ93" s="493"/>
      <c r="AR93" s="493"/>
      <c r="AS93" s="493"/>
      <c r="AT93" s="493"/>
      <c r="AU93" s="493"/>
      <c r="AV93" s="493"/>
      <c r="AW93" s="493"/>
      <c r="AX93" s="493"/>
      <c r="AY93" s="493"/>
      <c r="AZ93" s="493"/>
      <c r="BA93" s="493"/>
      <c r="BB93" s="493"/>
      <c r="BC93" s="493"/>
      <c r="BD93" s="493"/>
      <c r="BE93" s="493"/>
      <c r="BF93" s="493"/>
      <c r="BG93" s="493"/>
      <c r="BH93" s="493"/>
      <c r="BI93" s="493"/>
      <c r="BJ93" s="493"/>
      <c r="BK93" s="493"/>
      <c r="BL93" s="493"/>
      <c r="BM93" s="493"/>
      <c r="BN93" s="493"/>
      <c r="BO93" s="493"/>
      <c r="BP93" s="493"/>
      <c r="BQ93" s="493"/>
      <c r="BR93" s="493"/>
      <c r="BS93" s="493"/>
      <c r="BT93" s="493"/>
      <c r="BU93" s="493"/>
      <c r="BV93" s="493"/>
      <c r="BW93" s="493"/>
      <c r="BX93" s="493"/>
      <c r="BY93" s="493"/>
      <c r="BZ93" s="493"/>
      <c r="CA93" s="493"/>
      <c r="CB93" s="493"/>
      <c r="CC93" s="493"/>
      <c r="CD93" s="493"/>
      <c r="CE93" s="493"/>
      <c r="CF93" s="493"/>
      <c r="CG93" s="493"/>
      <c r="CH93" s="493"/>
      <c r="CI93" s="493"/>
      <c r="CJ93" s="493"/>
      <c r="CK93" s="493"/>
      <c r="CL93" s="493"/>
      <c r="CM93" s="493"/>
      <c r="CN93" s="493"/>
      <c r="CO93" s="493"/>
      <c r="CP93" s="493"/>
      <c r="CQ93" s="493"/>
      <c r="CR93" s="493"/>
      <c r="CS93" s="493"/>
      <c r="CT93" s="493"/>
      <c r="CU93" s="493"/>
      <c r="CV93" s="493"/>
      <c r="CW93" s="493"/>
      <c r="CX93" s="493"/>
      <c r="CY93" s="493"/>
      <c r="CZ93" s="493"/>
      <c r="DA93" s="493"/>
      <c r="DB93" s="493"/>
      <c r="DC93" s="493"/>
      <c r="DD93" s="493"/>
      <c r="DE93" s="493"/>
      <c r="DF93" s="493"/>
      <c r="DG93" s="493"/>
      <c r="DH93" s="493"/>
      <c r="DI93" s="493"/>
      <c r="DJ93" s="493"/>
      <c r="DK93" s="493"/>
      <c r="DL93" s="493"/>
      <c r="DM93" s="493"/>
      <c r="DN93" s="493"/>
      <c r="DO93" s="493"/>
      <c r="DP93" s="493"/>
      <c r="DQ93" s="493"/>
      <c r="DR93" s="493"/>
      <c r="DS93" s="493"/>
      <c r="DT93" s="493"/>
      <c r="DU93" s="493"/>
      <c r="DV93" s="493"/>
      <c r="DW93" s="493"/>
      <c r="DX93" s="493"/>
      <c r="DY93" s="493"/>
      <c r="DZ93" s="493"/>
      <c r="EA93" s="493"/>
      <c r="EB93" s="493"/>
      <c r="EC93" s="493"/>
      <c r="ED93" s="493"/>
      <c r="EE93" s="493"/>
      <c r="EF93" s="493"/>
      <c r="EG93" s="493"/>
      <c r="EH93" s="493"/>
      <c r="EI93" s="493"/>
      <c r="EJ93" s="493"/>
      <c r="EK93" s="493"/>
      <c r="EL93" s="493"/>
      <c r="EM93" s="493"/>
      <c r="EN93" s="493"/>
      <c r="EO93" s="493"/>
      <c r="EP93" s="493"/>
      <c r="EQ93" s="493"/>
      <c r="ER93" s="493"/>
      <c r="ES93" s="493"/>
      <c r="ET93" s="493"/>
      <c r="EU93" s="493"/>
      <c r="EV93" s="493"/>
      <c r="EW93" s="493"/>
      <c r="EX93" s="493"/>
      <c r="EY93" s="493"/>
      <c r="EZ93" s="493"/>
      <c r="FA93" s="493"/>
      <c r="FB93" s="493"/>
      <c r="FC93" s="493"/>
      <c r="FD93" s="493"/>
      <c r="FE93" s="493"/>
      <c r="FF93" s="493"/>
      <c r="FG93" s="493"/>
      <c r="FH93" s="493"/>
      <c r="FI93" s="493"/>
      <c r="FJ93" s="493"/>
      <c r="FK93" s="493"/>
      <c r="FL93" s="493"/>
      <c r="FM93" s="493"/>
      <c r="FN93" s="493"/>
      <c r="FO93" s="493"/>
      <c r="FP93" s="493"/>
      <c r="FQ93" s="493"/>
      <c r="FR93" s="493"/>
      <c r="FS93" s="493"/>
      <c r="FT93" s="493"/>
      <c r="FU93" s="493"/>
      <c r="FV93" s="493"/>
      <c r="FW93" s="493"/>
      <c r="FX93" s="493"/>
      <c r="FY93" s="493"/>
      <c r="FZ93" s="493"/>
      <c r="GA93" s="493"/>
      <c r="GB93" s="493"/>
      <c r="GC93" s="493"/>
      <c r="GD93" s="493"/>
    </row>
    <row r="94" spans="1:186" ht="15" customHeight="1">
      <c r="A94" s="363"/>
      <c r="B94" s="364"/>
      <c r="C94" s="365"/>
      <c r="D94" s="189"/>
      <c r="E94" s="189"/>
      <c r="F94" s="189"/>
      <c r="G94" s="189"/>
      <c r="H94" s="189"/>
      <c r="I94" s="189"/>
      <c r="J94" s="189"/>
      <c r="K94" s="189"/>
      <c r="L94" s="189"/>
      <c r="M94" s="189"/>
      <c r="O94" s="532"/>
      <c r="P94" s="533"/>
      <c r="Q94" s="534"/>
      <c r="R94" s="535"/>
      <c r="S94" s="536"/>
      <c r="T94" s="537"/>
      <c r="U94" s="538"/>
      <c r="V94" s="538"/>
      <c r="W94" s="539"/>
      <c r="X94" s="537"/>
      <c r="Y94" s="537"/>
      <c r="Z94" s="537"/>
      <c r="AA94" s="537"/>
      <c r="AB94" s="537"/>
      <c r="AC94" s="537"/>
      <c r="AD94" s="537"/>
      <c r="AE94" s="492"/>
      <c r="AF94" s="492"/>
      <c r="AG94" s="492"/>
      <c r="AH94" s="493"/>
      <c r="AI94" s="493"/>
      <c r="AJ94" s="493"/>
      <c r="AK94" s="493"/>
      <c r="AL94" s="493"/>
      <c r="AM94" s="493"/>
      <c r="AN94" s="493"/>
      <c r="AO94" s="493"/>
      <c r="AP94" s="493"/>
      <c r="AQ94" s="493"/>
      <c r="AR94" s="493"/>
      <c r="AS94" s="493"/>
      <c r="AT94" s="493"/>
      <c r="AU94" s="493"/>
      <c r="AV94" s="493"/>
      <c r="AW94" s="493"/>
      <c r="AX94" s="493"/>
      <c r="AY94" s="493"/>
      <c r="AZ94" s="493"/>
      <c r="BA94" s="493"/>
      <c r="BB94" s="493"/>
      <c r="BC94" s="493"/>
      <c r="BD94" s="493"/>
      <c r="BE94" s="493"/>
      <c r="BF94" s="493"/>
      <c r="BG94" s="493"/>
      <c r="BH94" s="493"/>
      <c r="BI94" s="493"/>
      <c r="BJ94" s="493"/>
      <c r="BK94" s="493"/>
      <c r="BL94" s="493"/>
      <c r="BM94" s="493"/>
      <c r="BN94" s="493"/>
      <c r="BO94" s="493"/>
      <c r="BP94" s="493"/>
      <c r="BQ94" s="493"/>
      <c r="BR94" s="493"/>
      <c r="BS94" s="493"/>
      <c r="BT94" s="493"/>
      <c r="BU94" s="493"/>
      <c r="BV94" s="493"/>
      <c r="BW94" s="493"/>
      <c r="BX94" s="493"/>
      <c r="BY94" s="493"/>
      <c r="BZ94" s="493"/>
      <c r="CA94" s="493"/>
      <c r="CB94" s="493"/>
      <c r="CC94" s="493"/>
      <c r="CD94" s="493"/>
      <c r="CE94" s="493"/>
      <c r="CF94" s="493"/>
      <c r="CG94" s="493"/>
      <c r="CH94" s="493"/>
      <c r="CI94" s="493"/>
      <c r="CJ94" s="493"/>
      <c r="CK94" s="493"/>
      <c r="CL94" s="493"/>
      <c r="CM94" s="493"/>
      <c r="CN94" s="493"/>
      <c r="CO94" s="493"/>
      <c r="CP94" s="493"/>
      <c r="CQ94" s="493"/>
      <c r="CR94" s="493"/>
      <c r="CS94" s="493"/>
      <c r="CT94" s="493"/>
      <c r="CU94" s="493"/>
      <c r="CV94" s="493"/>
      <c r="CW94" s="493"/>
      <c r="CX94" s="493"/>
      <c r="CY94" s="493"/>
      <c r="CZ94" s="493"/>
      <c r="DA94" s="493"/>
      <c r="DB94" s="493"/>
      <c r="DC94" s="493"/>
      <c r="DD94" s="493"/>
      <c r="DE94" s="493"/>
      <c r="DF94" s="493"/>
      <c r="DG94" s="493"/>
      <c r="DH94" s="493"/>
      <c r="DI94" s="493"/>
      <c r="DJ94" s="493"/>
      <c r="DK94" s="493"/>
      <c r="DL94" s="493"/>
      <c r="DM94" s="493"/>
      <c r="DN94" s="493"/>
      <c r="DO94" s="493"/>
      <c r="DP94" s="493"/>
      <c r="DQ94" s="493"/>
      <c r="DR94" s="493"/>
      <c r="DS94" s="493"/>
      <c r="DT94" s="493"/>
      <c r="DU94" s="493"/>
      <c r="DV94" s="493"/>
      <c r="DW94" s="493"/>
      <c r="DX94" s="493"/>
      <c r="DY94" s="493"/>
      <c r="DZ94" s="493"/>
      <c r="EA94" s="493"/>
      <c r="EB94" s="493"/>
      <c r="EC94" s="493"/>
      <c r="ED94" s="493"/>
      <c r="EE94" s="493"/>
      <c r="EF94" s="493"/>
      <c r="EG94" s="493"/>
      <c r="EH94" s="493"/>
      <c r="EI94" s="493"/>
      <c r="EJ94" s="493"/>
      <c r="EK94" s="493"/>
      <c r="EL94" s="493"/>
      <c r="EM94" s="493"/>
      <c r="EN94" s="493"/>
      <c r="EO94" s="493"/>
      <c r="EP94" s="493"/>
      <c r="EQ94" s="493"/>
      <c r="ER94" s="493"/>
      <c r="ES94" s="493"/>
      <c r="ET94" s="493"/>
      <c r="EU94" s="493"/>
      <c r="EV94" s="493"/>
      <c r="EW94" s="493"/>
      <c r="EX94" s="493"/>
      <c r="EY94" s="493"/>
      <c r="EZ94" s="493"/>
      <c r="FA94" s="493"/>
      <c r="FB94" s="493"/>
      <c r="FC94" s="493"/>
      <c r="FD94" s="493"/>
      <c r="FE94" s="493"/>
      <c r="FF94" s="493"/>
      <c r="FG94" s="493"/>
      <c r="FH94" s="493"/>
      <c r="FI94" s="493"/>
      <c r="FJ94" s="493"/>
      <c r="FK94" s="493"/>
      <c r="FL94" s="493"/>
      <c r="FM94" s="493"/>
      <c r="FN94" s="493"/>
      <c r="FO94" s="493"/>
      <c r="FP94" s="493"/>
      <c r="FQ94" s="493"/>
      <c r="FR94" s="493"/>
      <c r="FS94" s="493"/>
      <c r="FT94" s="493"/>
      <c r="FU94" s="493"/>
      <c r="FV94" s="493"/>
      <c r="FW94" s="493"/>
      <c r="FX94" s="493"/>
      <c r="FY94" s="493"/>
      <c r="FZ94" s="493"/>
      <c r="GA94" s="493"/>
      <c r="GB94" s="493"/>
      <c r="GC94" s="493"/>
      <c r="GD94" s="493"/>
    </row>
    <row r="95" spans="1:186" ht="15" customHeight="1">
      <c r="A95" s="363"/>
      <c r="B95" s="364"/>
      <c r="C95" s="365"/>
      <c r="D95" s="76"/>
      <c r="F95" s="76"/>
      <c r="I95" s="76"/>
      <c r="J95" s="76"/>
      <c r="L95" s="76"/>
      <c r="N95" s="190"/>
      <c r="O95" s="532"/>
      <c r="P95" s="534"/>
      <c r="Q95" s="535"/>
      <c r="R95" s="535"/>
      <c r="S95" s="536"/>
      <c r="T95" s="537"/>
      <c r="U95" s="538"/>
      <c r="V95" s="538"/>
      <c r="W95" s="538"/>
      <c r="X95" s="537"/>
      <c r="Y95" s="537"/>
      <c r="Z95" s="537"/>
      <c r="AA95" s="537"/>
      <c r="AB95" s="537"/>
      <c r="AC95" s="537"/>
      <c r="AD95" s="537"/>
      <c r="AE95" s="492"/>
      <c r="AF95" s="492"/>
      <c r="AG95" s="492"/>
      <c r="AH95" s="493"/>
      <c r="AI95" s="493"/>
      <c r="AJ95" s="493"/>
      <c r="AK95" s="493"/>
      <c r="AL95" s="493"/>
      <c r="AM95" s="493"/>
      <c r="AN95" s="493"/>
      <c r="AO95" s="493"/>
      <c r="AP95" s="493"/>
      <c r="AQ95" s="493"/>
      <c r="AR95" s="493"/>
      <c r="AS95" s="493"/>
      <c r="AT95" s="493"/>
      <c r="AU95" s="493"/>
      <c r="AV95" s="493"/>
      <c r="AW95" s="493"/>
      <c r="AX95" s="493"/>
      <c r="AY95" s="493"/>
      <c r="AZ95" s="493"/>
      <c r="BA95" s="493"/>
      <c r="BB95" s="493"/>
      <c r="BC95" s="493"/>
      <c r="BD95" s="493"/>
      <c r="BE95" s="493"/>
      <c r="BF95" s="493"/>
      <c r="BG95" s="493"/>
      <c r="BH95" s="493"/>
      <c r="BI95" s="493"/>
      <c r="BJ95" s="493"/>
      <c r="BK95" s="493"/>
      <c r="BL95" s="493"/>
      <c r="BM95" s="493"/>
      <c r="BN95" s="493"/>
      <c r="BO95" s="493"/>
      <c r="BP95" s="493"/>
      <c r="BQ95" s="493"/>
      <c r="BR95" s="493"/>
      <c r="BS95" s="493"/>
      <c r="BT95" s="493"/>
      <c r="BU95" s="493"/>
      <c r="BV95" s="493"/>
      <c r="BW95" s="493"/>
      <c r="BX95" s="493"/>
      <c r="BY95" s="493"/>
      <c r="BZ95" s="493"/>
      <c r="CA95" s="493"/>
      <c r="CB95" s="493"/>
      <c r="CC95" s="493"/>
      <c r="CD95" s="493"/>
      <c r="CE95" s="493"/>
      <c r="CF95" s="493"/>
      <c r="CG95" s="493"/>
      <c r="CH95" s="493"/>
      <c r="CI95" s="493"/>
      <c r="CJ95" s="493"/>
      <c r="CK95" s="493"/>
      <c r="CL95" s="493"/>
      <c r="CM95" s="493"/>
      <c r="CN95" s="493"/>
      <c r="CO95" s="493"/>
      <c r="CP95" s="493"/>
      <c r="CQ95" s="493"/>
      <c r="CR95" s="493"/>
      <c r="CS95" s="493"/>
      <c r="CT95" s="493"/>
      <c r="CU95" s="493"/>
      <c r="CV95" s="493"/>
      <c r="CW95" s="493"/>
      <c r="CX95" s="493"/>
      <c r="CY95" s="493"/>
      <c r="CZ95" s="493"/>
      <c r="DA95" s="493"/>
      <c r="DB95" s="493"/>
      <c r="DC95" s="493"/>
      <c r="DD95" s="493"/>
      <c r="DE95" s="493"/>
      <c r="DF95" s="493"/>
      <c r="DG95" s="493"/>
      <c r="DH95" s="493"/>
      <c r="DI95" s="493"/>
      <c r="DJ95" s="493"/>
      <c r="DK95" s="493"/>
      <c r="DL95" s="493"/>
      <c r="DM95" s="493"/>
      <c r="DN95" s="493"/>
      <c r="DO95" s="493"/>
      <c r="DP95" s="493"/>
      <c r="DQ95" s="493"/>
      <c r="DR95" s="493"/>
      <c r="DS95" s="493"/>
      <c r="DT95" s="493"/>
      <c r="DU95" s="493"/>
      <c r="DV95" s="493"/>
      <c r="DW95" s="493"/>
      <c r="DX95" s="493"/>
      <c r="DY95" s="493"/>
      <c r="DZ95" s="493"/>
      <c r="EA95" s="493"/>
      <c r="EB95" s="493"/>
      <c r="EC95" s="493"/>
      <c r="ED95" s="493"/>
      <c r="EE95" s="493"/>
      <c r="EF95" s="493"/>
      <c r="EG95" s="493"/>
      <c r="EH95" s="493"/>
      <c r="EI95" s="493"/>
      <c r="EJ95" s="493"/>
      <c r="EK95" s="493"/>
      <c r="EL95" s="493"/>
      <c r="EM95" s="493"/>
      <c r="EN95" s="493"/>
      <c r="EO95" s="493"/>
      <c r="EP95" s="493"/>
      <c r="EQ95" s="493"/>
      <c r="ER95" s="493"/>
      <c r="ES95" s="493"/>
      <c r="ET95" s="493"/>
      <c r="EU95" s="493"/>
      <c r="EV95" s="493"/>
      <c r="EW95" s="493"/>
      <c r="EX95" s="493"/>
      <c r="EY95" s="493"/>
      <c r="EZ95" s="493"/>
      <c r="FA95" s="493"/>
      <c r="FB95" s="493"/>
      <c r="FC95" s="493"/>
      <c r="FD95" s="493"/>
      <c r="FE95" s="493"/>
      <c r="FF95" s="493"/>
      <c r="FG95" s="493"/>
      <c r="FH95" s="493"/>
      <c r="FI95" s="493"/>
      <c r="FJ95" s="493"/>
      <c r="FK95" s="493"/>
      <c r="FL95" s="493"/>
      <c r="FM95" s="493"/>
      <c r="FN95" s="493"/>
      <c r="FO95" s="493"/>
      <c r="FP95" s="493"/>
      <c r="FQ95" s="493"/>
      <c r="FR95" s="493"/>
      <c r="FS95" s="493"/>
      <c r="FT95" s="493"/>
      <c r="FU95" s="493"/>
      <c r="FV95" s="493"/>
      <c r="FW95" s="493"/>
      <c r="FX95" s="493"/>
      <c r="FY95" s="493"/>
      <c r="FZ95" s="493"/>
      <c r="GA95" s="493"/>
      <c r="GB95" s="493"/>
      <c r="GC95" s="493"/>
      <c r="GD95" s="493"/>
    </row>
    <row r="96" spans="1:186" ht="15" customHeight="1">
      <c r="A96" s="363"/>
      <c r="B96" s="364"/>
      <c r="C96" s="365"/>
      <c r="D96" s="190"/>
      <c r="E96" s="190"/>
      <c r="F96" s="190"/>
      <c r="G96" s="190"/>
      <c r="H96" s="190"/>
      <c r="I96" s="190"/>
      <c r="J96" s="190"/>
      <c r="K96" s="190"/>
      <c r="L96" s="190"/>
      <c r="M96" s="190"/>
      <c r="O96" s="532"/>
      <c r="P96" s="540"/>
      <c r="Q96" s="541"/>
      <c r="R96" s="542"/>
      <c r="S96" s="536"/>
      <c r="T96" s="537"/>
      <c r="U96" s="537"/>
      <c r="V96" s="537"/>
      <c r="W96" s="538"/>
      <c r="X96" s="537"/>
      <c r="Y96" s="537"/>
      <c r="Z96" s="537"/>
      <c r="AA96" s="537"/>
      <c r="AB96" s="537"/>
      <c r="AC96" s="537"/>
      <c r="AD96" s="537"/>
      <c r="AE96" s="492"/>
      <c r="AF96" s="492"/>
      <c r="AG96" s="492"/>
      <c r="AH96" s="493"/>
      <c r="AI96" s="493"/>
      <c r="AJ96" s="493"/>
      <c r="AK96" s="493"/>
      <c r="AL96" s="493"/>
      <c r="AM96" s="493"/>
      <c r="AN96" s="493"/>
      <c r="AO96" s="493"/>
      <c r="AP96" s="493"/>
      <c r="AQ96" s="493"/>
      <c r="AR96" s="493"/>
      <c r="AS96" s="493"/>
      <c r="AT96" s="493"/>
      <c r="AU96" s="493"/>
      <c r="AV96" s="493"/>
      <c r="AW96" s="493"/>
      <c r="AX96" s="493"/>
      <c r="AY96" s="493"/>
      <c r="AZ96" s="493"/>
      <c r="BA96" s="493"/>
      <c r="BB96" s="493"/>
      <c r="BC96" s="493"/>
      <c r="BD96" s="493"/>
      <c r="BE96" s="493"/>
      <c r="BF96" s="493"/>
      <c r="BG96" s="493"/>
      <c r="BH96" s="493"/>
      <c r="BI96" s="493"/>
      <c r="BJ96" s="493"/>
      <c r="BK96" s="493"/>
      <c r="BL96" s="493"/>
      <c r="BM96" s="493"/>
      <c r="BN96" s="493"/>
      <c r="BO96" s="493"/>
      <c r="BP96" s="493"/>
      <c r="BQ96" s="493"/>
      <c r="BR96" s="493"/>
      <c r="BS96" s="493"/>
      <c r="BT96" s="493"/>
      <c r="BU96" s="493"/>
      <c r="BV96" s="493"/>
      <c r="BW96" s="493"/>
      <c r="BX96" s="493"/>
      <c r="BY96" s="493"/>
      <c r="BZ96" s="493"/>
      <c r="CA96" s="493"/>
      <c r="CB96" s="493"/>
      <c r="CC96" s="493"/>
      <c r="CD96" s="493"/>
      <c r="CE96" s="493"/>
      <c r="CF96" s="493"/>
      <c r="CG96" s="493"/>
      <c r="CH96" s="493"/>
      <c r="CI96" s="493"/>
      <c r="CJ96" s="493"/>
      <c r="CK96" s="493"/>
      <c r="CL96" s="493"/>
      <c r="CM96" s="493"/>
      <c r="CN96" s="493"/>
      <c r="CO96" s="493"/>
      <c r="CP96" s="493"/>
      <c r="CQ96" s="493"/>
      <c r="CR96" s="493"/>
      <c r="CS96" s="493"/>
      <c r="CT96" s="493"/>
      <c r="CU96" s="493"/>
      <c r="CV96" s="493"/>
      <c r="CW96" s="493"/>
      <c r="CX96" s="493"/>
      <c r="CY96" s="493"/>
      <c r="CZ96" s="493"/>
      <c r="DA96" s="493"/>
      <c r="DB96" s="493"/>
      <c r="DC96" s="493"/>
      <c r="DD96" s="493"/>
      <c r="DE96" s="493"/>
      <c r="DF96" s="493"/>
      <c r="DG96" s="493"/>
      <c r="DH96" s="493"/>
      <c r="DI96" s="493"/>
      <c r="DJ96" s="493"/>
      <c r="DK96" s="493"/>
      <c r="DL96" s="493"/>
      <c r="DM96" s="493"/>
      <c r="DN96" s="493"/>
      <c r="DO96" s="493"/>
      <c r="DP96" s="493"/>
      <c r="DQ96" s="493"/>
      <c r="DR96" s="493"/>
      <c r="DS96" s="493"/>
      <c r="DT96" s="493"/>
      <c r="DU96" s="493"/>
      <c r="DV96" s="493"/>
      <c r="DW96" s="493"/>
      <c r="DX96" s="493"/>
      <c r="DY96" s="493"/>
      <c r="DZ96" s="493"/>
      <c r="EA96" s="493"/>
      <c r="EB96" s="493"/>
      <c r="EC96" s="493"/>
      <c r="ED96" s="493"/>
      <c r="EE96" s="493"/>
      <c r="EF96" s="493"/>
      <c r="EG96" s="493"/>
      <c r="EH96" s="493"/>
      <c r="EI96" s="493"/>
      <c r="EJ96" s="493"/>
      <c r="EK96" s="493"/>
      <c r="EL96" s="493"/>
      <c r="EM96" s="493"/>
      <c r="EN96" s="493"/>
      <c r="EO96" s="493"/>
      <c r="EP96" s="493"/>
      <c r="EQ96" s="493"/>
      <c r="ER96" s="493"/>
      <c r="ES96" s="493"/>
      <c r="ET96" s="493"/>
      <c r="EU96" s="493"/>
      <c r="EV96" s="493"/>
      <c r="EW96" s="493"/>
      <c r="EX96" s="493"/>
      <c r="EY96" s="493"/>
      <c r="EZ96" s="493"/>
      <c r="FA96" s="493"/>
      <c r="FB96" s="493"/>
      <c r="FC96" s="493"/>
      <c r="FD96" s="493"/>
      <c r="FE96" s="493"/>
      <c r="FF96" s="493"/>
      <c r="FG96" s="493"/>
      <c r="FH96" s="493"/>
      <c r="FI96" s="493"/>
      <c r="FJ96" s="493"/>
      <c r="FK96" s="493"/>
      <c r="FL96" s="493"/>
      <c r="FM96" s="493"/>
      <c r="FN96" s="493"/>
      <c r="FO96" s="493"/>
      <c r="FP96" s="493"/>
      <c r="FQ96" s="493"/>
      <c r="FR96" s="493"/>
      <c r="FS96" s="493"/>
      <c r="FT96" s="493"/>
      <c r="FU96" s="493"/>
      <c r="FV96" s="493"/>
      <c r="FW96" s="493"/>
      <c r="FX96" s="493"/>
      <c r="FY96" s="493"/>
      <c r="FZ96" s="493"/>
      <c r="GA96" s="493"/>
      <c r="GB96" s="493"/>
      <c r="GC96" s="493"/>
      <c r="GD96" s="493"/>
    </row>
    <row r="97" spans="1:186" ht="15" customHeight="1">
      <c r="A97" s="363"/>
      <c r="B97" s="364"/>
      <c r="C97" s="365"/>
      <c r="D97" s="76"/>
      <c r="F97" s="76"/>
      <c r="I97" s="76"/>
      <c r="J97" s="76"/>
      <c r="L97" s="76"/>
      <c r="O97" s="529"/>
      <c r="P97" s="528"/>
      <c r="Q97" s="523"/>
      <c r="R97" s="530"/>
      <c r="S97" s="492"/>
      <c r="T97" s="492"/>
      <c r="U97" s="492"/>
      <c r="V97" s="492"/>
      <c r="W97" s="497"/>
      <c r="X97" s="492"/>
      <c r="Y97" s="492"/>
      <c r="Z97" s="492"/>
      <c r="AA97" s="537"/>
      <c r="AB97" s="537"/>
      <c r="AC97" s="537"/>
      <c r="AD97" s="537"/>
      <c r="AE97" s="492"/>
      <c r="AF97" s="492"/>
      <c r="AG97" s="492"/>
      <c r="AH97" s="493"/>
      <c r="AI97" s="493"/>
      <c r="AJ97" s="493"/>
      <c r="AK97" s="493"/>
      <c r="AL97" s="493"/>
      <c r="AM97" s="493"/>
      <c r="AN97" s="493"/>
      <c r="AO97" s="493"/>
      <c r="AP97" s="493"/>
      <c r="AQ97" s="493"/>
      <c r="AR97" s="493"/>
      <c r="AS97" s="493"/>
      <c r="AT97" s="493"/>
      <c r="AU97" s="493"/>
      <c r="AV97" s="493"/>
      <c r="AW97" s="493"/>
      <c r="AX97" s="493"/>
      <c r="AY97" s="493"/>
      <c r="AZ97" s="493"/>
      <c r="BA97" s="493"/>
      <c r="BB97" s="493"/>
      <c r="BC97" s="493"/>
      <c r="BD97" s="493"/>
      <c r="BE97" s="493"/>
      <c r="BF97" s="493"/>
      <c r="BG97" s="493"/>
      <c r="BH97" s="493"/>
      <c r="BI97" s="493"/>
      <c r="BJ97" s="493"/>
      <c r="BK97" s="493"/>
      <c r="BL97" s="493"/>
      <c r="BM97" s="493"/>
      <c r="BN97" s="493"/>
      <c r="BO97" s="493"/>
      <c r="BP97" s="493"/>
      <c r="BQ97" s="493"/>
      <c r="BR97" s="493"/>
      <c r="BS97" s="493"/>
      <c r="BT97" s="493"/>
      <c r="BU97" s="493"/>
      <c r="BV97" s="493"/>
      <c r="BW97" s="493"/>
      <c r="BX97" s="493"/>
      <c r="BY97" s="493"/>
      <c r="BZ97" s="493"/>
      <c r="CA97" s="493"/>
      <c r="CB97" s="493"/>
      <c r="CC97" s="493"/>
      <c r="CD97" s="493"/>
      <c r="CE97" s="493"/>
      <c r="CF97" s="493"/>
      <c r="CG97" s="493"/>
      <c r="CH97" s="493"/>
      <c r="CI97" s="493"/>
      <c r="CJ97" s="493"/>
      <c r="CK97" s="493"/>
      <c r="CL97" s="493"/>
      <c r="CM97" s="493"/>
      <c r="CN97" s="493"/>
      <c r="CO97" s="493"/>
      <c r="CP97" s="493"/>
      <c r="CQ97" s="493"/>
      <c r="CR97" s="493"/>
      <c r="CS97" s="493"/>
      <c r="CT97" s="493"/>
      <c r="CU97" s="493"/>
      <c r="CV97" s="493"/>
      <c r="CW97" s="493"/>
      <c r="CX97" s="493"/>
      <c r="CY97" s="493"/>
      <c r="CZ97" s="493"/>
      <c r="DA97" s="493"/>
      <c r="DB97" s="493"/>
      <c r="DC97" s="493"/>
      <c r="DD97" s="493"/>
      <c r="DE97" s="493"/>
      <c r="DF97" s="493"/>
      <c r="DG97" s="493"/>
      <c r="DH97" s="493"/>
      <c r="DI97" s="493"/>
      <c r="DJ97" s="493"/>
      <c r="DK97" s="493"/>
      <c r="DL97" s="493"/>
      <c r="DM97" s="493"/>
      <c r="DN97" s="493"/>
      <c r="DO97" s="493"/>
      <c r="DP97" s="493"/>
      <c r="DQ97" s="493"/>
      <c r="DR97" s="493"/>
      <c r="DS97" s="493"/>
      <c r="DT97" s="493"/>
      <c r="DU97" s="493"/>
      <c r="DV97" s="493"/>
      <c r="DW97" s="493"/>
      <c r="DX97" s="493"/>
      <c r="DY97" s="493"/>
      <c r="DZ97" s="493"/>
      <c r="EA97" s="493"/>
      <c r="EB97" s="493"/>
      <c r="EC97" s="493"/>
      <c r="ED97" s="493"/>
      <c r="EE97" s="493"/>
      <c r="EF97" s="493"/>
      <c r="EG97" s="493"/>
      <c r="EH97" s="493"/>
      <c r="EI97" s="493"/>
      <c r="EJ97" s="493"/>
      <c r="EK97" s="493"/>
      <c r="EL97" s="493"/>
      <c r="EM97" s="493"/>
      <c r="EN97" s="493"/>
      <c r="EO97" s="493"/>
      <c r="EP97" s="493"/>
      <c r="EQ97" s="493"/>
      <c r="ER97" s="493"/>
      <c r="ES97" s="493"/>
      <c r="ET97" s="493"/>
      <c r="EU97" s="493"/>
      <c r="EV97" s="493"/>
      <c r="EW97" s="493"/>
      <c r="EX97" s="493"/>
      <c r="EY97" s="493"/>
      <c r="EZ97" s="493"/>
      <c r="FA97" s="493"/>
      <c r="FB97" s="493"/>
      <c r="FC97" s="493"/>
      <c r="FD97" s="493"/>
      <c r="FE97" s="493"/>
      <c r="FF97" s="493"/>
      <c r="FG97" s="493"/>
      <c r="FH97" s="493"/>
      <c r="FI97" s="493"/>
      <c r="FJ97" s="493"/>
      <c r="FK97" s="493"/>
      <c r="FL97" s="493"/>
      <c r="FM97" s="493"/>
      <c r="FN97" s="493"/>
      <c r="FO97" s="493"/>
      <c r="FP97" s="493"/>
      <c r="FQ97" s="493"/>
      <c r="FR97" s="493"/>
      <c r="FS97" s="493"/>
      <c r="FT97" s="493"/>
      <c r="FU97" s="493"/>
      <c r="FV97" s="493"/>
      <c r="FW97" s="493"/>
      <c r="FX97" s="493"/>
      <c r="FY97" s="493"/>
      <c r="FZ97" s="493"/>
      <c r="GA97" s="493"/>
      <c r="GB97" s="493"/>
      <c r="GC97" s="493"/>
      <c r="GD97" s="493"/>
    </row>
    <row r="98" spans="1:186" ht="15" customHeight="1">
      <c r="A98" s="363"/>
      <c r="B98" s="364"/>
      <c r="C98" s="365"/>
      <c r="D98" s="76"/>
      <c r="F98" s="76"/>
      <c r="I98" s="76"/>
      <c r="J98" s="76"/>
      <c r="L98" s="76"/>
      <c r="O98" s="520"/>
      <c r="P98" s="520"/>
      <c r="Q98" s="524"/>
      <c r="R98" s="494"/>
      <c r="S98" s="504"/>
      <c r="T98" s="518"/>
      <c r="U98" s="494"/>
      <c r="V98" s="494"/>
      <c r="W98" s="497"/>
      <c r="X98" s="492"/>
      <c r="Y98" s="492"/>
      <c r="Z98" s="492"/>
      <c r="AA98" s="537"/>
      <c r="AB98" s="537"/>
      <c r="AC98" s="537"/>
      <c r="AD98" s="537"/>
      <c r="AE98" s="492"/>
      <c r="AF98" s="492"/>
      <c r="AG98" s="492"/>
      <c r="AH98" s="493"/>
      <c r="AI98" s="493"/>
      <c r="AJ98" s="493"/>
      <c r="AK98" s="493"/>
      <c r="AL98" s="493"/>
      <c r="AM98" s="493"/>
      <c r="AN98" s="493"/>
      <c r="AO98" s="493"/>
      <c r="AP98" s="493"/>
      <c r="AQ98" s="493"/>
      <c r="AR98" s="493"/>
      <c r="AS98" s="493"/>
      <c r="AT98" s="493"/>
      <c r="AU98" s="493"/>
      <c r="AV98" s="493"/>
      <c r="AW98" s="493"/>
      <c r="AX98" s="493"/>
      <c r="AY98" s="493"/>
      <c r="AZ98" s="493"/>
      <c r="BA98" s="493"/>
      <c r="BB98" s="493"/>
      <c r="BC98" s="493"/>
      <c r="BD98" s="493"/>
      <c r="BE98" s="493"/>
      <c r="BF98" s="493"/>
      <c r="BG98" s="493"/>
      <c r="BH98" s="493"/>
      <c r="BI98" s="493"/>
      <c r="BJ98" s="493"/>
      <c r="BK98" s="493"/>
      <c r="BL98" s="493"/>
      <c r="BM98" s="493"/>
      <c r="BN98" s="493"/>
      <c r="BO98" s="493"/>
      <c r="BP98" s="493"/>
      <c r="BQ98" s="493"/>
      <c r="BR98" s="493"/>
      <c r="BS98" s="493"/>
      <c r="BT98" s="493"/>
      <c r="BU98" s="493"/>
      <c r="BV98" s="493"/>
      <c r="BW98" s="493"/>
      <c r="BX98" s="493"/>
      <c r="BY98" s="493"/>
      <c r="BZ98" s="493"/>
      <c r="CA98" s="493"/>
      <c r="CB98" s="493"/>
      <c r="CC98" s="493"/>
      <c r="CD98" s="493"/>
      <c r="CE98" s="493"/>
      <c r="CF98" s="493"/>
      <c r="CG98" s="493"/>
      <c r="CH98" s="493"/>
      <c r="CI98" s="493"/>
      <c r="CJ98" s="493"/>
      <c r="CK98" s="493"/>
      <c r="CL98" s="493"/>
      <c r="CM98" s="493"/>
      <c r="CN98" s="493"/>
      <c r="CO98" s="493"/>
      <c r="CP98" s="493"/>
      <c r="CQ98" s="493"/>
      <c r="CR98" s="493"/>
      <c r="CS98" s="493"/>
      <c r="CT98" s="493"/>
      <c r="CU98" s="493"/>
      <c r="CV98" s="493"/>
      <c r="CW98" s="493"/>
      <c r="CX98" s="493"/>
      <c r="CY98" s="493"/>
      <c r="CZ98" s="493"/>
      <c r="DA98" s="493"/>
      <c r="DB98" s="493"/>
      <c r="DC98" s="493"/>
      <c r="DD98" s="493"/>
      <c r="DE98" s="493"/>
      <c r="DF98" s="493"/>
      <c r="DG98" s="493"/>
      <c r="DH98" s="493"/>
      <c r="DI98" s="493"/>
      <c r="DJ98" s="493"/>
      <c r="DK98" s="493"/>
      <c r="DL98" s="493"/>
      <c r="DM98" s="493"/>
      <c r="DN98" s="493"/>
      <c r="DO98" s="493"/>
      <c r="DP98" s="493"/>
      <c r="DQ98" s="493"/>
      <c r="DR98" s="493"/>
      <c r="DS98" s="493"/>
      <c r="DT98" s="493"/>
      <c r="DU98" s="493"/>
      <c r="DV98" s="493"/>
      <c r="DW98" s="493"/>
      <c r="DX98" s="493"/>
      <c r="DY98" s="493"/>
      <c r="DZ98" s="493"/>
      <c r="EA98" s="493"/>
      <c r="EB98" s="493"/>
      <c r="EC98" s="493"/>
      <c r="ED98" s="493"/>
      <c r="EE98" s="493"/>
      <c r="EF98" s="493"/>
      <c r="EG98" s="493"/>
      <c r="EH98" s="493"/>
      <c r="EI98" s="493"/>
      <c r="EJ98" s="493"/>
      <c r="EK98" s="493"/>
      <c r="EL98" s="493"/>
      <c r="EM98" s="493"/>
      <c r="EN98" s="493"/>
      <c r="EO98" s="493"/>
      <c r="EP98" s="493"/>
      <c r="EQ98" s="493"/>
      <c r="ER98" s="493"/>
      <c r="ES98" s="493"/>
      <c r="ET98" s="493"/>
      <c r="EU98" s="493"/>
      <c r="EV98" s="493"/>
      <c r="EW98" s="493"/>
      <c r="EX98" s="493"/>
      <c r="EY98" s="493"/>
      <c r="EZ98" s="493"/>
      <c r="FA98" s="493"/>
      <c r="FB98" s="493"/>
      <c r="FC98" s="493"/>
      <c r="FD98" s="493"/>
      <c r="FE98" s="493"/>
      <c r="FF98" s="493"/>
      <c r="FG98" s="493"/>
      <c r="FH98" s="493"/>
      <c r="FI98" s="493"/>
      <c r="FJ98" s="493"/>
      <c r="FK98" s="493"/>
      <c r="FL98" s="493"/>
      <c r="FM98" s="493"/>
      <c r="FN98" s="493"/>
      <c r="FO98" s="493"/>
      <c r="FP98" s="493"/>
      <c r="FQ98" s="493"/>
      <c r="FR98" s="493"/>
      <c r="FS98" s="493"/>
      <c r="FT98" s="493"/>
      <c r="FU98" s="493"/>
      <c r="FV98" s="493"/>
      <c r="FW98" s="493"/>
      <c r="FX98" s="493"/>
      <c r="FY98" s="493"/>
      <c r="FZ98" s="493"/>
      <c r="GA98" s="493"/>
      <c r="GB98" s="493"/>
      <c r="GC98" s="493"/>
      <c r="GD98" s="493"/>
    </row>
    <row r="99" spans="1:186" ht="15" customHeight="1">
      <c r="A99" s="363"/>
      <c r="B99" s="364"/>
      <c r="C99" s="365"/>
      <c r="D99" s="76"/>
      <c r="F99" s="76"/>
      <c r="I99" s="76"/>
      <c r="J99" s="76"/>
      <c r="L99" s="76"/>
      <c r="O99" s="492"/>
      <c r="P99" s="492" t="s">
        <v>111</v>
      </c>
      <c r="Q99" s="492" t="s">
        <v>265</v>
      </c>
      <c r="R99" s="492" t="s">
        <v>112</v>
      </c>
      <c r="S99" s="492" t="s">
        <v>113</v>
      </c>
      <c r="T99" s="492" t="s">
        <v>114</v>
      </c>
      <c r="U99" s="492" t="s">
        <v>90</v>
      </c>
      <c r="V99" s="492" t="s">
        <v>115</v>
      </c>
      <c r="W99" s="529" t="s">
        <v>116</v>
      </c>
      <c r="X99" s="492" t="s">
        <v>117</v>
      </c>
      <c r="Y99" s="492"/>
      <c r="Z99" s="492"/>
      <c r="AA99" s="537"/>
      <c r="AB99" s="537"/>
      <c r="AC99" s="537"/>
      <c r="AD99" s="537"/>
      <c r="AE99" s="492"/>
      <c r="AF99" s="492"/>
      <c r="AG99" s="492"/>
      <c r="AH99" s="493"/>
      <c r="AI99" s="493"/>
      <c r="AJ99" s="493"/>
      <c r="AK99" s="493"/>
      <c r="AL99" s="493"/>
      <c r="AM99" s="493"/>
      <c r="AN99" s="493"/>
      <c r="AO99" s="493"/>
      <c r="AP99" s="493"/>
      <c r="AQ99" s="493"/>
      <c r="AR99" s="493"/>
      <c r="AS99" s="493"/>
      <c r="AT99" s="493"/>
      <c r="AU99" s="493"/>
      <c r="AV99" s="493"/>
      <c r="AW99" s="493"/>
      <c r="AX99" s="493"/>
      <c r="AY99" s="493"/>
      <c r="AZ99" s="493"/>
      <c r="BA99" s="493"/>
      <c r="BB99" s="493"/>
      <c r="BC99" s="493"/>
      <c r="BD99" s="493"/>
      <c r="BE99" s="493"/>
      <c r="BF99" s="493"/>
      <c r="BG99" s="493"/>
      <c r="BH99" s="493"/>
      <c r="BI99" s="493"/>
      <c r="BJ99" s="493"/>
      <c r="BK99" s="493"/>
      <c r="BL99" s="493"/>
      <c r="BM99" s="493"/>
      <c r="BN99" s="493"/>
      <c r="BO99" s="493"/>
      <c r="BP99" s="493"/>
      <c r="BQ99" s="493"/>
      <c r="BR99" s="493"/>
      <c r="BS99" s="493"/>
      <c r="BT99" s="493"/>
      <c r="BU99" s="493"/>
      <c r="BV99" s="493"/>
      <c r="BW99" s="493"/>
      <c r="BX99" s="493"/>
      <c r="BY99" s="493"/>
      <c r="BZ99" s="493"/>
      <c r="CA99" s="493"/>
      <c r="CB99" s="493"/>
      <c r="CC99" s="493"/>
      <c r="CD99" s="493"/>
      <c r="CE99" s="493"/>
      <c r="CF99" s="493"/>
      <c r="CG99" s="493"/>
      <c r="CH99" s="493"/>
      <c r="CI99" s="493"/>
      <c r="CJ99" s="493"/>
      <c r="CK99" s="493"/>
      <c r="CL99" s="493"/>
      <c r="CM99" s="493"/>
      <c r="CN99" s="493"/>
      <c r="CO99" s="493"/>
      <c r="CP99" s="493"/>
      <c r="CQ99" s="493"/>
      <c r="CR99" s="493"/>
      <c r="CS99" s="493"/>
      <c r="CT99" s="493"/>
      <c r="CU99" s="493"/>
      <c r="CV99" s="493"/>
      <c r="CW99" s="493"/>
      <c r="CX99" s="493"/>
      <c r="CY99" s="493"/>
      <c r="CZ99" s="493"/>
      <c r="DA99" s="493"/>
      <c r="DB99" s="493"/>
      <c r="DC99" s="493"/>
      <c r="DD99" s="493"/>
      <c r="DE99" s="493"/>
      <c r="DF99" s="493"/>
      <c r="DG99" s="493"/>
      <c r="DH99" s="493"/>
      <c r="DI99" s="493"/>
      <c r="DJ99" s="493"/>
      <c r="DK99" s="493"/>
      <c r="DL99" s="493"/>
      <c r="DM99" s="493"/>
      <c r="DN99" s="493"/>
      <c r="DO99" s="493"/>
      <c r="DP99" s="493"/>
      <c r="DQ99" s="493"/>
      <c r="DR99" s="493"/>
      <c r="DS99" s="493"/>
      <c r="DT99" s="493"/>
      <c r="DU99" s="493"/>
      <c r="DV99" s="493"/>
      <c r="DW99" s="493"/>
      <c r="DX99" s="493"/>
      <c r="DY99" s="493"/>
      <c r="DZ99" s="493"/>
      <c r="EA99" s="493"/>
      <c r="EB99" s="493"/>
      <c r="EC99" s="493"/>
      <c r="ED99" s="493"/>
      <c r="EE99" s="493"/>
      <c r="EF99" s="493"/>
      <c r="EG99" s="493"/>
      <c r="EH99" s="493"/>
      <c r="EI99" s="493"/>
      <c r="EJ99" s="493"/>
      <c r="EK99" s="493"/>
      <c r="EL99" s="493"/>
      <c r="EM99" s="493"/>
      <c r="EN99" s="493"/>
      <c r="EO99" s="493"/>
      <c r="EP99" s="493"/>
      <c r="EQ99" s="493"/>
      <c r="ER99" s="493"/>
      <c r="ES99" s="493"/>
      <c r="ET99" s="493"/>
      <c r="EU99" s="493"/>
      <c r="EV99" s="493"/>
      <c r="EW99" s="493"/>
      <c r="EX99" s="493"/>
      <c r="EY99" s="493"/>
      <c r="EZ99" s="493"/>
      <c r="FA99" s="493"/>
      <c r="FB99" s="493"/>
      <c r="FC99" s="493"/>
      <c r="FD99" s="493"/>
      <c r="FE99" s="493"/>
      <c r="FF99" s="493"/>
      <c r="FG99" s="493"/>
      <c r="FH99" s="493"/>
      <c r="FI99" s="493"/>
      <c r="FJ99" s="493"/>
      <c r="FK99" s="493"/>
      <c r="FL99" s="493"/>
      <c r="FM99" s="493"/>
      <c r="FN99" s="493"/>
      <c r="FO99" s="493"/>
      <c r="FP99" s="493"/>
      <c r="FQ99" s="493"/>
      <c r="FR99" s="493"/>
      <c r="FS99" s="493"/>
      <c r="FT99" s="493"/>
      <c r="FU99" s="493"/>
      <c r="FV99" s="493"/>
      <c r="FW99" s="493"/>
      <c r="FX99" s="493"/>
      <c r="FY99" s="493"/>
      <c r="FZ99" s="493"/>
      <c r="GA99" s="493"/>
      <c r="GB99" s="493"/>
      <c r="GC99" s="493"/>
      <c r="GD99" s="493"/>
    </row>
    <row r="100" spans="1:186" ht="15" customHeight="1">
      <c r="A100" s="363"/>
      <c r="B100" s="364"/>
      <c r="C100" s="365"/>
      <c r="D100" s="76"/>
      <c r="F100" s="76"/>
      <c r="I100" s="76"/>
      <c r="J100" s="76"/>
      <c r="L100" s="76"/>
      <c r="O100" s="492"/>
      <c r="P100" s="516">
        <v>10</v>
      </c>
      <c r="Q100" s="517">
        <f>IF($D$87&lt;W100*0.9,$D$87,W100*0.9)</f>
        <v>1.92683368421941</v>
      </c>
      <c r="R100" s="517">
        <f>B87</f>
        <v>480</v>
      </c>
      <c r="S100" s="516">
        <f>P100</f>
        <v>10</v>
      </c>
      <c r="T100" s="517">
        <f>U100*V100*PI()/30000</f>
        <v>0.74593291512877047</v>
      </c>
      <c r="U100" s="517">
        <f>H87</f>
        <v>712.31346394614638</v>
      </c>
      <c r="V100" s="516">
        <f>P100</f>
        <v>10</v>
      </c>
      <c r="W100" s="516">
        <f>X100*V100*PI()/30000</f>
        <v>2.1409263157993443</v>
      </c>
      <c r="X100" s="517">
        <f>'limit 480V'!K27*0.95</f>
        <v>2044.434035729915</v>
      </c>
      <c r="Y100" s="492"/>
      <c r="Z100" s="492"/>
      <c r="AA100" s="537"/>
      <c r="AB100" s="537"/>
      <c r="AC100" s="537"/>
      <c r="AD100" s="537"/>
      <c r="AE100" s="492"/>
      <c r="AF100" s="492"/>
      <c r="AG100" s="492"/>
      <c r="AH100" s="493"/>
      <c r="AI100" s="493"/>
      <c r="AJ100" s="493"/>
      <c r="AK100" s="493"/>
      <c r="AL100" s="493"/>
      <c r="AM100" s="493"/>
      <c r="AN100" s="493"/>
      <c r="AO100" s="493"/>
      <c r="AP100" s="493"/>
      <c r="AQ100" s="493"/>
      <c r="AR100" s="493"/>
      <c r="AS100" s="493"/>
      <c r="AT100" s="493"/>
      <c r="AU100" s="493"/>
      <c r="AV100" s="493"/>
      <c r="AW100" s="493"/>
      <c r="AX100" s="493"/>
      <c r="AY100" s="493"/>
      <c r="AZ100" s="493"/>
      <c r="BA100" s="493"/>
      <c r="BB100" s="493"/>
      <c r="BC100" s="493"/>
      <c r="BD100" s="493"/>
      <c r="BE100" s="493"/>
      <c r="BF100" s="493"/>
      <c r="BG100" s="493"/>
      <c r="BH100" s="493"/>
      <c r="BI100" s="493"/>
      <c r="BJ100" s="493"/>
      <c r="BK100" s="493"/>
      <c r="BL100" s="493"/>
      <c r="BM100" s="493"/>
      <c r="BN100" s="493"/>
      <c r="BO100" s="493"/>
      <c r="BP100" s="493"/>
      <c r="BQ100" s="493"/>
      <c r="BR100" s="493"/>
      <c r="BS100" s="493"/>
      <c r="BT100" s="493"/>
      <c r="BU100" s="493"/>
      <c r="BV100" s="493"/>
      <c r="BW100" s="493"/>
      <c r="BX100" s="493"/>
      <c r="BY100" s="493"/>
      <c r="BZ100" s="493"/>
      <c r="CA100" s="493"/>
      <c r="CB100" s="493"/>
      <c r="CC100" s="493"/>
      <c r="CD100" s="493"/>
      <c r="CE100" s="493"/>
      <c r="CF100" s="493"/>
      <c r="CG100" s="493"/>
      <c r="CH100" s="493"/>
      <c r="CI100" s="493"/>
      <c r="CJ100" s="493"/>
      <c r="CK100" s="493"/>
      <c r="CL100" s="493"/>
      <c r="CM100" s="493"/>
      <c r="CN100" s="493"/>
      <c r="CO100" s="493"/>
      <c r="CP100" s="493"/>
      <c r="CQ100" s="493"/>
      <c r="CR100" s="493"/>
      <c r="CS100" s="493"/>
      <c r="CT100" s="493"/>
      <c r="CU100" s="493"/>
      <c r="CV100" s="493"/>
      <c r="CW100" s="493"/>
      <c r="CX100" s="493"/>
      <c r="CY100" s="493"/>
      <c r="CZ100" s="493"/>
      <c r="DA100" s="493"/>
      <c r="DB100" s="493"/>
      <c r="DC100" s="493"/>
      <c r="DD100" s="493"/>
      <c r="DE100" s="493"/>
      <c r="DF100" s="493"/>
      <c r="DG100" s="493"/>
      <c r="DH100" s="493"/>
      <c r="DI100" s="493"/>
      <c r="DJ100" s="493"/>
      <c r="DK100" s="493"/>
      <c r="DL100" s="493"/>
      <c r="DM100" s="493"/>
      <c r="DN100" s="493"/>
      <c r="DO100" s="493"/>
      <c r="DP100" s="493"/>
      <c r="DQ100" s="493"/>
      <c r="DR100" s="493"/>
      <c r="DS100" s="493"/>
      <c r="DT100" s="493"/>
      <c r="DU100" s="493"/>
      <c r="DV100" s="493"/>
      <c r="DW100" s="493"/>
      <c r="DX100" s="493"/>
      <c r="DY100" s="493"/>
      <c r="DZ100" s="493"/>
      <c r="EA100" s="493"/>
      <c r="EB100" s="493"/>
      <c r="EC100" s="493"/>
      <c r="ED100" s="493"/>
      <c r="EE100" s="493"/>
      <c r="EF100" s="493"/>
      <c r="EG100" s="493"/>
      <c r="EH100" s="493"/>
      <c r="EI100" s="493"/>
      <c r="EJ100" s="493"/>
      <c r="EK100" s="493"/>
      <c r="EL100" s="493"/>
      <c r="EM100" s="493"/>
      <c r="EN100" s="493"/>
      <c r="EO100" s="493"/>
      <c r="EP100" s="493"/>
      <c r="EQ100" s="493"/>
      <c r="ER100" s="493"/>
      <c r="ES100" s="493"/>
      <c r="ET100" s="493"/>
      <c r="EU100" s="493"/>
      <c r="EV100" s="493"/>
      <c r="EW100" s="493"/>
      <c r="EX100" s="493"/>
      <c r="EY100" s="493"/>
      <c r="EZ100" s="493"/>
      <c r="FA100" s="493"/>
      <c r="FB100" s="493"/>
      <c r="FC100" s="493"/>
      <c r="FD100" s="493"/>
      <c r="FE100" s="493"/>
      <c r="FF100" s="493"/>
      <c r="FG100" s="493"/>
      <c r="FH100" s="493"/>
      <c r="FI100" s="493"/>
      <c r="FJ100" s="493"/>
      <c r="FK100" s="493"/>
      <c r="FL100" s="493"/>
      <c r="FM100" s="493"/>
      <c r="FN100" s="493"/>
      <c r="FO100" s="493"/>
      <c r="FP100" s="493"/>
      <c r="FQ100" s="493"/>
      <c r="FR100" s="493"/>
      <c r="FS100" s="493"/>
      <c r="FT100" s="493"/>
      <c r="FU100" s="493"/>
      <c r="FV100" s="493"/>
      <c r="FW100" s="493"/>
      <c r="FX100" s="493"/>
      <c r="FY100" s="493"/>
      <c r="FZ100" s="493"/>
      <c r="GA100" s="493"/>
      <c r="GB100" s="493"/>
      <c r="GC100" s="493"/>
      <c r="GD100" s="493"/>
    </row>
    <row r="101" spans="1:186" ht="15" customHeight="1">
      <c r="A101" s="363"/>
      <c r="B101" s="364"/>
      <c r="C101" s="365"/>
      <c r="D101" s="76"/>
      <c r="F101" s="76"/>
      <c r="I101" s="76"/>
      <c r="J101" s="76"/>
      <c r="L101" s="76"/>
      <c r="O101" s="492"/>
      <c r="P101" s="516">
        <f>E87</f>
        <v>2976</v>
      </c>
      <c r="Q101" s="517">
        <f>R101*P101*PI()/30000</f>
        <v>149.59007579333158</v>
      </c>
      <c r="R101" s="517">
        <f>B87</f>
        <v>480</v>
      </c>
      <c r="S101" s="516">
        <f>K87</f>
        <v>2976</v>
      </c>
      <c r="T101" s="517">
        <f>U101*S101*PI()/30000</f>
        <v>221.98963554232211</v>
      </c>
      <c r="U101" s="517">
        <f>H87</f>
        <v>712.31346394614638</v>
      </c>
      <c r="V101" s="516">
        <f>Y87</f>
        <v>2596.3797011253637</v>
      </c>
      <c r="W101" s="516">
        <f t="shared" ref="W101:W131" si="26">X101*V101*PI()/30000</f>
        <v>555.86576279465282</v>
      </c>
      <c r="X101" s="517">
        <f>X100</f>
        <v>2044.434035729915</v>
      </c>
      <c r="Y101" s="492"/>
      <c r="Z101" s="492"/>
      <c r="AA101" s="537"/>
      <c r="AB101" s="537"/>
      <c r="AC101" s="537"/>
      <c r="AD101" s="537"/>
      <c r="AE101" s="492"/>
      <c r="AF101" s="492"/>
      <c r="AG101" s="492"/>
      <c r="AH101" s="493"/>
      <c r="AI101" s="493"/>
      <c r="AJ101" s="493"/>
      <c r="AK101" s="493"/>
      <c r="AL101" s="493"/>
      <c r="AM101" s="493"/>
      <c r="AN101" s="493"/>
      <c r="AO101" s="493"/>
      <c r="AP101" s="493"/>
      <c r="AQ101" s="493"/>
      <c r="AR101" s="493"/>
      <c r="AS101" s="493"/>
      <c r="AT101" s="493"/>
      <c r="AU101" s="493"/>
      <c r="AV101" s="493"/>
      <c r="AW101" s="493"/>
      <c r="AX101" s="493"/>
      <c r="AY101" s="493"/>
      <c r="AZ101" s="493"/>
      <c r="BA101" s="493"/>
      <c r="BB101" s="493"/>
      <c r="BC101" s="493"/>
      <c r="BD101" s="493"/>
      <c r="BE101" s="493"/>
      <c r="BF101" s="493"/>
      <c r="BG101" s="493"/>
      <c r="BH101" s="493"/>
      <c r="BI101" s="493"/>
      <c r="BJ101" s="493"/>
      <c r="BK101" s="493"/>
      <c r="BL101" s="493"/>
      <c r="BM101" s="493"/>
      <c r="BN101" s="493"/>
      <c r="BO101" s="493"/>
      <c r="BP101" s="493"/>
      <c r="BQ101" s="493"/>
      <c r="BR101" s="493"/>
      <c r="BS101" s="493"/>
      <c r="BT101" s="493"/>
      <c r="BU101" s="493"/>
      <c r="BV101" s="493"/>
      <c r="BW101" s="493"/>
      <c r="BX101" s="493"/>
      <c r="BY101" s="493"/>
      <c r="BZ101" s="493"/>
      <c r="CA101" s="493"/>
      <c r="CB101" s="493"/>
      <c r="CC101" s="493"/>
      <c r="CD101" s="493"/>
      <c r="CE101" s="493"/>
      <c r="CF101" s="493"/>
      <c r="CG101" s="493"/>
      <c r="CH101" s="493"/>
      <c r="CI101" s="493"/>
      <c r="CJ101" s="493"/>
      <c r="CK101" s="493"/>
      <c r="CL101" s="493"/>
      <c r="CM101" s="493"/>
      <c r="CN101" s="493"/>
      <c r="CO101" s="493"/>
      <c r="CP101" s="493"/>
      <c r="CQ101" s="493"/>
      <c r="CR101" s="493"/>
      <c r="CS101" s="493"/>
      <c r="CT101" s="493"/>
      <c r="CU101" s="493"/>
      <c r="CV101" s="493"/>
      <c r="CW101" s="493"/>
      <c r="CX101" s="493"/>
      <c r="CY101" s="493"/>
      <c r="CZ101" s="493"/>
      <c r="DA101" s="493"/>
      <c r="DB101" s="493"/>
      <c r="DC101" s="493"/>
      <c r="DD101" s="493"/>
      <c r="DE101" s="493"/>
      <c r="DF101" s="493"/>
      <c r="DG101" s="493"/>
      <c r="DH101" s="493"/>
      <c r="DI101" s="493"/>
      <c r="DJ101" s="493"/>
      <c r="DK101" s="493"/>
      <c r="DL101" s="493"/>
      <c r="DM101" s="493"/>
      <c r="DN101" s="493"/>
      <c r="DO101" s="493"/>
      <c r="DP101" s="493"/>
      <c r="DQ101" s="493"/>
      <c r="DR101" s="493"/>
      <c r="DS101" s="493"/>
      <c r="DT101" s="493"/>
      <c r="DU101" s="493"/>
      <c r="DV101" s="493"/>
      <c r="DW101" s="493"/>
      <c r="DX101" s="493"/>
      <c r="DY101" s="493"/>
      <c r="DZ101" s="493"/>
      <c r="EA101" s="493"/>
      <c r="EB101" s="493"/>
      <c r="EC101" s="493"/>
      <c r="ED101" s="493"/>
      <c r="EE101" s="493"/>
      <c r="EF101" s="493"/>
      <c r="EG101" s="493"/>
      <c r="EH101" s="493"/>
      <c r="EI101" s="493"/>
      <c r="EJ101" s="493"/>
      <c r="EK101" s="493"/>
      <c r="EL101" s="493"/>
      <c r="EM101" s="493"/>
      <c r="EN101" s="493"/>
      <c r="EO101" s="493"/>
      <c r="EP101" s="493"/>
      <c r="EQ101" s="493"/>
      <c r="ER101" s="493"/>
      <c r="ES101" s="493"/>
      <c r="ET101" s="493"/>
      <c r="EU101" s="493"/>
      <c r="EV101" s="493"/>
      <c r="EW101" s="493"/>
      <c r="EX101" s="493"/>
      <c r="EY101" s="493"/>
      <c r="EZ101" s="493"/>
      <c r="FA101" s="493"/>
      <c r="FB101" s="493"/>
      <c r="FC101" s="493"/>
      <c r="FD101" s="493"/>
      <c r="FE101" s="493"/>
      <c r="FF101" s="493"/>
      <c r="FG101" s="493"/>
      <c r="FH101" s="493"/>
      <c r="FI101" s="493"/>
      <c r="FJ101" s="493"/>
      <c r="FK101" s="493"/>
      <c r="FL101" s="493"/>
      <c r="FM101" s="493"/>
      <c r="FN101" s="493"/>
      <c r="FO101" s="493"/>
      <c r="FP101" s="493"/>
      <c r="FQ101" s="493"/>
      <c r="FR101" s="493"/>
      <c r="FS101" s="493"/>
      <c r="FT101" s="493"/>
      <c r="FU101" s="493"/>
      <c r="FV101" s="493"/>
      <c r="FW101" s="493"/>
      <c r="FX101" s="493"/>
      <c r="FY101" s="493"/>
      <c r="FZ101" s="493"/>
      <c r="GA101" s="493"/>
      <c r="GB101" s="493"/>
      <c r="GC101" s="493"/>
      <c r="GD101" s="493"/>
    </row>
    <row r="102" spans="1:186" ht="15" customHeight="1">
      <c r="A102" s="363"/>
      <c r="B102" s="364"/>
      <c r="C102" s="365"/>
      <c r="D102" s="76"/>
      <c r="F102" s="76"/>
      <c r="I102" s="76"/>
      <c r="J102" s="76"/>
      <c r="L102" s="76"/>
      <c r="O102" s="492"/>
      <c r="P102" s="516">
        <f>P101</f>
        <v>2976</v>
      </c>
      <c r="Q102" s="517">
        <f>R102*P102*PI()/30000</f>
        <v>149.59007579333158</v>
      </c>
      <c r="R102" s="517">
        <f t="shared" ref="R102:R111" si="27">R101*P101/P102</f>
        <v>480</v>
      </c>
      <c r="S102" s="516">
        <f>S101</f>
        <v>2976</v>
      </c>
      <c r="T102" s="517">
        <f>U102*S102*PI()/30000</f>
        <v>221.98963554232211</v>
      </c>
      <c r="U102" s="517">
        <f t="shared" ref="U102:U111" si="28">U101*S101/S102</f>
        <v>712.31346394614638</v>
      </c>
      <c r="V102" s="516">
        <f>V101</f>
        <v>2596.3797011253637</v>
      </c>
      <c r="W102" s="516">
        <f t="shared" si="26"/>
        <v>555.86576279465282</v>
      </c>
      <c r="X102" s="517">
        <f>X101</f>
        <v>2044.434035729915</v>
      </c>
      <c r="Y102" s="492"/>
      <c r="Z102" s="492"/>
      <c r="AA102" s="537"/>
      <c r="AB102" s="537"/>
      <c r="AC102" s="537"/>
      <c r="AD102" s="537"/>
      <c r="AE102" s="492"/>
      <c r="AF102" s="492"/>
      <c r="AG102" s="492"/>
      <c r="AH102" s="493"/>
      <c r="AI102" s="493"/>
      <c r="AJ102" s="493"/>
      <c r="AK102" s="493"/>
      <c r="AL102" s="493"/>
      <c r="AM102" s="493"/>
      <c r="AN102" s="493"/>
      <c r="AO102" s="493"/>
      <c r="AP102" s="493"/>
      <c r="AQ102" s="493"/>
      <c r="AR102" s="493"/>
      <c r="AS102" s="493"/>
      <c r="AT102" s="493"/>
      <c r="AU102" s="493"/>
      <c r="AV102" s="493"/>
      <c r="AW102" s="493"/>
      <c r="AX102" s="493"/>
      <c r="AY102" s="493"/>
      <c r="AZ102" s="493"/>
      <c r="BA102" s="493"/>
      <c r="BB102" s="493"/>
      <c r="BC102" s="493"/>
      <c r="BD102" s="493"/>
      <c r="BE102" s="493"/>
      <c r="BF102" s="493"/>
      <c r="BG102" s="493"/>
      <c r="BH102" s="493"/>
      <c r="BI102" s="493"/>
      <c r="BJ102" s="493"/>
      <c r="BK102" s="493"/>
      <c r="BL102" s="493"/>
      <c r="BM102" s="493"/>
      <c r="BN102" s="493"/>
      <c r="BO102" s="493"/>
      <c r="BP102" s="493"/>
      <c r="BQ102" s="493"/>
      <c r="BR102" s="493"/>
      <c r="BS102" s="493"/>
      <c r="BT102" s="493"/>
      <c r="BU102" s="493"/>
      <c r="BV102" s="493"/>
      <c r="BW102" s="493"/>
      <c r="BX102" s="493"/>
      <c r="BY102" s="493"/>
      <c r="BZ102" s="493"/>
      <c r="CA102" s="493"/>
      <c r="CB102" s="493"/>
      <c r="CC102" s="493"/>
      <c r="CD102" s="493"/>
      <c r="CE102" s="493"/>
      <c r="CF102" s="493"/>
      <c r="CG102" s="493"/>
      <c r="CH102" s="493"/>
      <c r="CI102" s="493"/>
      <c r="CJ102" s="493"/>
      <c r="CK102" s="493"/>
      <c r="CL102" s="493"/>
      <c r="CM102" s="493"/>
      <c r="CN102" s="493"/>
      <c r="CO102" s="493"/>
      <c r="CP102" s="493"/>
      <c r="CQ102" s="493"/>
      <c r="CR102" s="493"/>
      <c r="CS102" s="493"/>
      <c r="CT102" s="493"/>
      <c r="CU102" s="493"/>
      <c r="CV102" s="493"/>
      <c r="CW102" s="493"/>
      <c r="CX102" s="493"/>
      <c r="CY102" s="493"/>
      <c r="CZ102" s="493"/>
      <c r="DA102" s="493"/>
      <c r="DB102" s="493"/>
      <c r="DC102" s="493"/>
      <c r="DD102" s="493"/>
      <c r="DE102" s="493"/>
      <c r="DF102" s="493"/>
      <c r="DG102" s="493"/>
      <c r="DH102" s="493"/>
      <c r="DI102" s="493"/>
      <c r="DJ102" s="493"/>
      <c r="DK102" s="493"/>
      <c r="DL102" s="493"/>
      <c r="DM102" s="493"/>
      <c r="DN102" s="493"/>
      <c r="DO102" s="493"/>
      <c r="DP102" s="493"/>
      <c r="DQ102" s="493"/>
      <c r="DR102" s="493"/>
      <c r="DS102" s="493"/>
      <c r="DT102" s="493"/>
      <c r="DU102" s="493"/>
      <c r="DV102" s="493"/>
      <c r="DW102" s="493"/>
      <c r="DX102" s="493"/>
      <c r="DY102" s="493"/>
      <c r="DZ102" s="493"/>
      <c r="EA102" s="493"/>
      <c r="EB102" s="493"/>
      <c r="EC102" s="493"/>
      <c r="ED102" s="493"/>
      <c r="EE102" s="493"/>
      <c r="EF102" s="493"/>
      <c r="EG102" s="493"/>
      <c r="EH102" s="493"/>
      <c r="EI102" s="493"/>
      <c r="EJ102" s="493"/>
      <c r="EK102" s="493"/>
      <c r="EL102" s="493"/>
      <c r="EM102" s="493"/>
      <c r="EN102" s="493"/>
      <c r="EO102" s="493"/>
      <c r="EP102" s="493"/>
      <c r="EQ102" s="493"/>
      <c r="ER102" s="493"/>
      <c r="ES102" s="493"/>
      <c r="ET102" s="493"/>
      <c r="EU102" s="493"/>
      <c r="EV102" s="493"/>
      <c r="EW102" s="493"/>
      <c r="EX102" s="493"/>
      <c r="EY102" s="493"/>
      <c r="EZ102" s="493"/>
      <c r="FA102" s="493"/>
      <c r="FB102" s="493"/>
      <c r="FC102" s="493"/>
      <c r="FD102" s="493"/>
      <c r="FE102" s="493"/>
      <c r="FF102" s="493"/>
      <c r="FG102" s="493"/>
      <c r="FH102" s="493"/>
      <c r="FI102" s="493"/>
      <c r="FJ102" s="493"/>
      <c r="FK102" s="493"/>
      <c r="FL102" s="493"/>
      <c r="FM102" s="493"/>
      <c r="FN102" s="493"/>
      <c r="FO102" s="493"/>
      <c r="FP102" s="493"/>
      <c r="FQ102" s="493"/>
      <c r="FR102" s="493"/>
      <c r="FS102" s="493"/>
      <c r="FT102" s="493"/>
      <c r="FU102" s="493"/>
      <c r="FV102" s="493"/>
      <c r="FW102" s="493"/>
      <c r="FX102" s="493"/>
      <c r="FY102" s="493"/>
      <c r="FZ102" s="493"/>
      <c r="GA102" s="493"/>
      <c r="GB102" s="493"/>
      <c r="GC102" s="493"/>
      <c r="GD102" s="493"/>
    </row>
    <row r="103" spans="1:186" ht="15" customHeight="1">
      <c r="A103" s="363"/>
      <c r="B103" s="364"/>
      <c r="C103" s="365"/>
      <c r="D103" s="76"/>
      <c r="F103" s="76"/>
      <c r="I103" s="76"/>
      <c r="J103" s="76"/>
      <c r="L103" s="76"/>
      <c r="O103" s="492"/>
      <c r="P103" s="516">
        <f>P102+($P$112-$P$102)/10</f>
        <v>3328.4</v>
      </c>
      <c r="Q103" s="517">
        <f t="shared" ref="Q103:Q111" si="29">R103*P103*PI()/30000</f>
        <v>149.59007579333158</v>
      </c>
      <c r="R103" s="517">
        <f t="shared" si="27"/>
        <v>429.17918519408721</v>
      </c>
      <c r="S103" s="516">
        <f t="shared" ref="S103:S110" si="30">S102+($S$112-$S$102)/10</f>
        <v>3328.4</v>
      </c>
      <c r="T103" s="517">
        <f t="shared" ref="T103:T111" si="31">U103*S103*PI()/30000</f>
        <v>221.98963554232211</v>
      </c>
      <c r="U103" s="517">
        <f t="shared" si="28"/>
        <v>636.8960667899687</v>
      </c>
      <c r="V103" s="516">
        <f t="shared" ref="V103:V131" si="32">IF(V102*1.1&gt;MIN($L$13,$D$112),MIN($L$13,$D$112),V102*1.1)</f>
        <v>2856.0176712379002</v>
      </c>
      <c r="W103" s="516">
        <f t="shared" si="26"/>
        <v>514.56690497128727</v>
      </c>
      <c r="X103" s="517">
        <f t="shared" ref="X103:X130" si="33">X102*(V102/V103)^(1+$AD$87)</f>
        <v>1720.4907512112418</v>
      </c>
      <c r="Y103" s="492"/>
      <c r="Z103" s="492"/>
      <c r="AA103" s="537"/>
      <c r="AB103" s="537"/>
      <c r="AC103" s="537"/>
      <c r="AD103" s="537"/>
      <c r="AE103" s="492"/>
      <c r="AF103" s="492"/>
      <c r="AG103" s="492"/>
      <c r="AH103" s="493"/>
      <c r="AI103" s="493"/>
      <c r="AJ103" s="493"/>
      <c r="AK103" s="493"/>
      <c r="AL103" s="493"/>
      <c r="AM103" s="493"/>
      <c r="AN103" s="493"/>
      <c r="AO103" s="493"/>
      <c r="AP103" s="493"/>
      <c r="AQ103" s="493"/>
      <c r="AR103" s="493"/>
      <c r="AS103" s="493"/>
      <c r="AT103" s="493"/>
      <c r="AU103" s="493"/>
      <c r="AV103" s="493"/>
      <c r="AW103" s="493"/>
      <c r="AX103" s="493"/>
      <c r="AY103" s="493"/>
      <c r="AZ103" s="493"/>
      <c r="BA103" s="493"/>
      <c r="BB103" s="493"/>
      <c r="BC103" s="493"/>
      <c r="BD103" s="493"/>
      <c r="BE103" s="493"/>
      <c r="BF103" s="493"/>
      <c r="BG103" s="493"/>
      <c r="BH103" s="493"/>
      <c r="BI103" s="493"/>
      <c r="BJ103" s="493"/>
      <c r="BK103" s="493"/>
      <c r="BL103" s="493"/>
      <c r="BM103" s="493"/>
      <c r="BN103" s="493"/>
      <c r="BO103" s="493"/>
      <c r="BP103" s="493"/>
      <c r="BQ103" s="493"/>
      <c r="BR103" s="493"/>
      <c r="BS103" s="493"/>
      <c r="BT103" s="493"/>
      <c r="BU103" s="493"/>
      <c r="BV103" s="493"/>
      <c r="BW103" s="493"/>
      <c r="BX103" s="493"/>
      <c r="BY103" s="493"/>
      <c r="BZ103" s="493"/>
      <c r="CA103" s="493"/>
      <c r="CB103" s="493"/>
      <c r="CC103" s="493"/>
      <c r="CD103" s="493"/>
      <c r="CE103" s="493"/>
      <c r="CF103" s="493"/>
      <c r="CG103" s="493"/>
      <c r="CH103" s="493"/>
      <c r="CI103" s="493"/>
      <c r="CJ103" s="493"/>
      <c r="CK103" s="493"/>
      <c r="CL103" s="493"/>
      <c r="CM103" s="493"/>
      <c r="CN103" s="493"/>
      <c r="CO103" s="493"/>
      <c r="CP103" s="493"/>
      <c r="CQ103" s="493"/>
      <c r="CR103" s="493"/>
      <c r="CS103" s="493"/>
      <c r="CT103" s="493"/>
      <c r="CU103" s="493"/>
      <c r="CV103" s="493"/>
      <c r="CW103" s="493"/>
      <c r="CX103" s="493"/>
      <c r="CY103" s="493"/>
      <c r="CZ103" s="493"/>
      <c r="DA103" s="493"/>
      <c r="DB103" s="493"/>
      <c r="DC103" s="493"/>
      <c r="DD103" s="493"/>
      <c r="DE103" s="493"/>
      <c r="DF103" s="493"/>
      <c r="DG103" s="493"/>
      <c r="DH103" s="493"/>
      <c r="DI103" s="493"/>
      <c r="DJ103" s="493"/>
      <c r="DK103" s="493"/>
      <c r="DL103" s="493"/>
      <c r="DM103" s="493"/>
      <c r="DN103" s="493"/>
      <c r="DO103" s="493"/>
      <c r="DP103" s="493"/>
      <c r="DQ103" s="493"/>
      <c r="DR103" s="493"/>
      <c r="DS103" s="493"/>
      <c r="DT103" s="493"/>
      <c r="DU103" s="493"/>
      <c r="DV103" s="493"/>
      <c r="DW103" s="493"/>
      <c r="DX103" s="493"/>
      <c r="DY103" s="493"/>
      <c r="DZ103" s="493"/>
      <c r="EA103" s="493"/>
      <c r="EB103" s="493"/>
      <c r="EC103" s="493"/>
      <c r="ED103" s="493"/>
      <c r="EE103" s="493"/>
      <c r="EF103" s="493"/>
      <c r="EG103" s="493"/>
      <c r="EH103" s="493"/>
      <c r="EI103" s="493"/>
      <c r="EJ103" s="493"/>
      <c r="EK103" s="493"/>
      <c r="EL103" s="493"/>
      <c r="EM103" s="493"/>
      <c r="EN103" s="493"/>
      <c r="EO103" s="493"/>
      <c r="EP103" s="493"/>
      <c r="EQ103" s="493"/>
      <c r="ER103" s="493"/>
      <c r="ES103" s="493"/>
      <c r="ET103" s="493"/>
      <c r="EU103" s="493"/>
      <c r="EV103" s="493"/>
      <c r="EW103" s="493"/>
      <c r="EX103" s="493"/>
      <c r="EY103" s="493"/>
      <c r="EZ103" s="493"/>
      <c r="FA103" s="493"/>
      <c r="FB103" s="493"/>
      <c r="FC103" s="493"/>
      <c r="FD103" s="493"/>
      <c r="FE103" s="493"/>
      <c r="FF103" s="493"/>
      <c r="FG103" s="493"/>
      <c r="FH103" s="493"/>
      <c r="FI103" s="493"/>
      <c r="FJ103" s="493"/>
      <c r="FK103" s="493"/>
      <c r="FL103" s="493"/>
      <c r="FM103" s="493"/>
      <c r="FN103" s="493"/>
      <c r="FO103" s="493"/>
      <c r="FP103" s="493"/>
      <c r="FQ103" s="493"/>
      <c r="FR103" s="493"/>
      <c r="FS103" s="493"/>
      <c r="FT103" s="493"/>
      <c r="FU103" s="493"/>
      <c r="FV103" s="493"/>
      <c r="FW103" s="493"/>
      <c r="FX103" s="493"/>
      <c r="FY103" s="493"/>
      <c r="FZ103" s="493"/>
      <c r="GA103" s="493"/>
      <c r="GB103" s="493"/>
      <c r="GC103" s="493"/>
      <c r="GD103" s="493"/>
    </row>
    <row r="104" spans="1:186" ht="15" customHeight="1">
      <c r="A104" s="363"/>
      <c r="B104" s="364"/>
      <c r="C104" s="365"/>
      <c r="D104" s="76"/>
      <c r="F104" s="76"/>
      <c r="I104" s="76"/>
      <c r="J104" s="76"/>
      <c r="L104" s="76"/>
      <c r="O104" s="492"/>
      <c r="P104" s="516">
        <f t="shared" ref="P104:P111" si="34">P103+($P$112-$P$102)/10</f>
        <v>3680.8</v>
      </c>
      <c r="Q104" s="517">
        <f t="shared" si="29"/>
        <v>149.59007579333158</v>
      </c>
      <c r="R104" s="517">
        <f t="shared" si="27"/>
        <v>388.08954575092372</v>
      </c>
      <c r="S104" s="516">
        <f t="shared" si="30"/>
        <v>3680.8</v>
      </c>
      <c r="T104" s="517">
        <f t="shared" si="31"/>
        <v>221.98963554232211</v>
      </c>
      <c r="U104" s="517">
        <f t="shared" si="28"/>
        <v>575.91960136484772</v>
      </c>
      <c r="V104" s="516">
        <f t="shared" si="32"/>
        <v>3141.6194383616903</v>
      </c>
      <c r="W104" s="516">
        <f t="shared" si="26"/>
        <v>476.33640604259358</v>
      </c>
      <c r="X104" s="517">
        <f t="shared" si="33"/>
        <v>1447.876709774398</v>
      </c>
      <c r="Y104" s="492"/>
      <c r="Z104" s="492"/>
      <c r="AA104" s="537"/>
      <c r="AB104" s="537"/>
      <c r="AC104" s="537"/>
      <c r="AD104" s="537"/>
      <c r="AE104" s="492"/>
      <c r="AF104" s="492"/>
      <c r="AG104" s="492"/>
      <c r="AH104" s="493"/>
      <c r="AI104" s="493"/>
      <c r="AJ104" s="493"/>
      <c r="AK104" s="493"/>
      <c r="AL104" s="493"/>
      <c r="AM104" s="493"/>
      <c r="AN104" s="493"/>
      <c r="AO104" s="493"/>
      <c r="AP104" s="493"/>
      <c r="AQ104" s="493"/>
      <c r="AR104" s="493"/>
      <c r="AS104" s="493"/>
      <c r="AT104" s="493"/>
      <c r="AU104" s="493"/>
      <c r="AV104" s="493"/>
      <c r="AW104" s="493"/>
      <c r="AX104" s="493"/>
      <c r="AY104" s="493"/>
      <c r="AZ104" s="493"/>
      <c r="BA104" s="493"/>
      <c r="BB104" s="493"/>
      <c r="BC104" s="493"/>
      <c r="BD104" s="493"/>
      <c r="BE104" s="493"/>
      <c r="BF104" s="493"/>
      <c r="BG104" s="493"/>
      <c r="BH104" s="493"/>
      <c r="BI104" s="493"/>
      <c r="BJ104" s="493"/>
      <c r="BK104" s="493"/>
      <c r="BL104" s="493"/>
      <c r="BM104" s="493"/>
      <c r="BN104" s="493"/>
      <c r="BO104" s="493"/>
      <c r="BP104" s="493"/>
      <c r="BQ104" s="493"/>
      <c r="BR104" s="493"/>
      <c r="BS104" s="493"/>
      <c r="BT104" s="493"/>
      <c r="BU104" s="493"/>
      <c r="BV104" s="493"/>
      <c r="BW104" s="493"/>
      <c r="BX104" s="493"/>
      <c r="BY104" s="493"/>
      <c r="BZ104" s="493"/>
      <c r="CA104" s="493"/>
      <c r="CB104" s="493"/>
      <c r="CC104" s="493"/>
      <c r="CD104" s="493"/>
      <c r="CE104" s="493"/>
      <c r="CF104" s="493"/>
      <c r="CG104" s="493"/>
      <c r="CH104" s="493"/>
      <c r="CI104" s="493"/>
      <c r="CJ104" s="493"/>
      <c r="CK104" s="493"/>
      <c r="CL104" s="493"/>
      <c r="CM104" s="493"/>
      <c r="CN104" s="493"/>
      <c r="CO104" s="493"/>
      <c r="CP104" s="493"/>
      <c r="CQ104" s="493"/>
      <c r="CR104" s="493"/>
      <c r="CS104" s="493"/>
      <c r="CT104" s="493"/>
      <c r="CU104" s="493"/>
      <c r="CV104" s="493"/>
      <c r="CW104" s="493"/>
      <c r="CX104" s="493"/>
      <c r="CY104" s="493"/>
      <c r="CZ104" s="493"/>
      <c r="DA104" s="493"/>
      <c r="DB104" s="493"/>
      <c r="DC104" s="493"/>
      <c r="DD104" s="493"/>
      <c r="DE104" s="493"/>
      <c r="DF104" s="493"/>
      <c r="DG104" s="493"/>
      <c r="DH104" s="493"/>
      <c r="DI104" s="493"/>
      <c r="DJ104" s="493"/>
      <c r="DK104" s="493"/>
      <c r="DL104" s="493"/>
      <c r="DM104" s="493"/>
      <c r="DN104" s="493"/>
      <c r="DO104" s="493"/>
      <c r="DP104" s="493"/>
      <c r="DQ104" s="493"/>
      <c r="DR104" s="493"/>
      <c r="DS104" s="493"/>
      <c r="DT104" s="493"/>
      <c r="DU104" s="493"/>
      <c r="DV104" s="493"/>
      <c r="DW104" s="493"/>
      <c r="DX104" s="493"/>
      <c r="DY104" s="493"/>
      <c r="DZ104" s="493"/>
      <c r="EA104" s="493"/>
      <c r="EB104" s="493"/>
      <c r="EC104" s="493"/>
      <c r="ED104" s="493"/>
      <c r="EE104" s="493"/>
      <c r="EF104" s="493"/>
      <c r="EG104" s="493"/>
      <c r="EH104" s="493"/>
      <c r="EI104" s="493"/>
      <c r="EJ104" s="493"/>
      <c r="EK104" s="493"/>
      <c r="EL104" s="493"/>
      <c r="EM104" s="493"/>
      <c r="EN104" s="493"/>
      <c r="EO104" s="493"/>
      <c r="EP104" s="493"/>
      <c r="EQ104" s="493"/>
      <c r="ER104" s="493"/>
      <c r="ES104" s="493"/>
      <c r="ET104" s="493"/>
      <c r="EU104" s="493"/>
      <c r="EV104" s="493"/>
      <c r="EW104" s="493"/>
      <c r="EX104" s="493"/>
      <c r="EY104" s="493"/>
      <c r="EZ104" s="493"/>
      <c r="FA104" s="493"/>
      <c r="FB104" s="493"/>
      <c r="FC104" s="493"/>
      <c r="FD104" s="493"/>
      <c r="FE104" s="493"/>
      <c r="FF104" s="493"/>
      <c r="FG104" s="493"/>
      <c r="FH104" s="493"/>
      <c r="FI104" s="493"/>
      <c r="FJ104" s="493"/>
      <c r="FK104" s="493"/>
      <c r="FL104" s="493"/>
      <c r="FM104" s="493"/>
      <c r="FN104" s="493"/>
      <c r="FO104" s="493"/>
      <c r="FP104" s="493"/>
      <c r="FQ104" s="493"/>
      <c r="FR104" s="493"/>
      <c r="FS104" s="493"/>
      <c r="FT104" s="493"/>
      <c r="FU104" s="493"/>
      <c r="FV104" s="493"/>
      <c r="FW104" s="493"/>
      <c r="FX104" s="493"/>
      <c r="FY104" s="493"/>
      <c r="FZ104" s="493"/>
      <c r="GA104" s="493"/>
      <c r="GB104" s="493"/>
      <c r="GC104" s="493"/>
      <c r="GD104" s="493"/>
    </row>
    <row r="105" spans="1:186" ht="15" customHeight="1">
      <c r="A105" s="363"/>
      <c r="B105" s="364"/>
      <c r="C105" s="365"/>
      <c r="D105" s="76"/>
      <c r="F105" s="76"/>
      <c r="I105" s="76"/>
      <c r="J105" s="76"/>
      <c r="L105" s="76"/>
      <c r="O105" s="492"/>
      <c r="P105" s="516">
        <f t="shared" si="34"/>
        <v>4033.2000000000003</v>
      </c>
      <c r="Q105" s="517">
        <f t="shared" si="29"/>
        <v>149.59007579333158</v>
      </c>
      <c r="R105" s="517">
        <f t="shared" si="27"/>
        <v>354.18030348110676</v>
      </c>
      <c r="S105" s="516">
        <f t="shared" si="30"/>
        <v>4033.2000000000003</v>
      </c>
      <c r="T105" s="517">
        <f t="shared" si="31"/>
        <v>221.98963554232211</v>
      </c>
      <c r="U105" s="517">
        <f t="shared" si="28"/>
        <v>525.59874757109287</v>
      </c>
      <c r="V105" s="516">
        <f t="shared" si="32"/>
        <v>3455.7813821978598</v>
      </c>
      <c r="W105" s="516">
        <f t="shared" si="26"/>
        <v>440.94629780793105</v>
      </c>
      <c r="X105" s="517">
        <f t="shared" si="33"/>
        <v>1218.4587247744794</v>
      </c>
      <c r="Y105" s="492"/>
      <c r="Z105" s="492"/>
      <c r="AA105" s="537"/>
      <c r="AB105" s="537"/>
      <c r="AC105" s="537"/>
      <c r="AD105" s="537"/>
      <c r="AE105" s="492"/>
      <c r="AF105" s="492"/>
      <c r="AG105" s="492"/>
      <c r="AH105" s="493"/>
      <c r="AI105" s="493"/>
      <c r="AJ105" s="493"/>
      <c r="AK105" s="493"/>
      <c r="AL105" s="493"/>
      <c r="AM105" s="493"/>
      <c r="AN105" s="493"/>
      <c r="AO105" s="493"/>
      <c r="AP105" s="493"/>
      <c r="AQ105" s="493"/>
      <c r="AR105" s="493"/>
      <c r="AS105" s="493"/>
      <c r="AT105" s="493"/>
      <c r="AU105" s="493"/>
      <c r="AV105" s="493"/>
      <c r="AW105" s="493"/>
      <c r="AX105" s="493"/>
      <c r="AY105" s="493"/>
      <c r="AZ105" s="493"/>
      <c r="BA105" s="493"/>
      <c r="BB105" s="493"/>
      <c r="BC105" s="493"/>
      <c r="BD105" s="493"/>
      <c r="BE105" s="493"/>
      <c r="BF105" s="493"/>
      <c r="BG105" s="493"/>
      <c r="BH105" s="493"/>
      <c r="BI105" s="493"/>
      <c r="BJ105" s="493"/>
      <c r="BK105" s="493"/>
      <c r="BL105" s="493"/>
      <c r="BM105" s="493"/>
      <c r="BN105" s="493"/>
      <c r="BO105" s="493"/>
      <c r="BP105" s="493"/>
      <c r="BQ105" s="493"/>
      <c r="BR105" s="493"/>
      <c r="BS105" s="493"/>
      <c r="BT105" s="493"/>
      <c r="BU105" s="493"/>
      <c r="BV105" s="493"/>
      <c r="BW105" s="493"/>
      <c r="BX105" s="493"/>
      <c r="BY105" s="493"/>
      <c r="BZ105" s="493"/>
      <c r="CA105" s="493"/>
      <c r="CB105" s="493"/>
      <c r="CC105" s="493"/>
      <c r="CD105" s="493"/>
      <c r="CE105" s="493"/>
      <c r="CF105" s="493"/>
      <c r="CG105" s="493"/>
      <c r="CH105" s="493"/>
      <c r="CI105" s="493"/>
      <c r="CJ105" s="493"/>
      <c r="CK105" s="493"/>
      <c r="CL105" s="493"/>
      <c r="CM105" s="493"/>
      <c r="CN105" s="493"/>
      <c r="CO105" s="493"/>
      <c r="CP105" s="493"/>
      <c r="CQ105" s="493"/>
      <c r="CR105" s="493"/>
      <c r="CS105" s="493"/>
      <c r="CT105" s="493"/>
      <c r="CU105" s="493"/>
      <c r="CV105" s="493"/>
      <c r="CW105" s="493"/>
      <c r="CX105" s="493"/>
      <c r="CY105" s="493"/>
      <c r="CZ105" s="493"/>
      <c r="DA105" s="493"/>
      <c r="DB105" s="493"/>
      <c r="DC105" s="493"/>
      <c r="DD105" s="493"/>
      <c r="DE105" s="493"/>
      <c r="DF105" s="493"/>
      <c r="DG105" s="493"/>
      <c r="DH105" s="493"/>
      <c r="DI105" s="493"/>
      <c r="DJ105" s="493"/>
      <c r="DK105" s="493"/>
      <c r="DL105" s="493"/>
      <c r="DM105" s="493"/>
      <c r="DN105" s="493"/>
      <c r="DO105" s="493"/>
      <c r="DP105" s="493"/>
      <c r="DQ105" s="493"/>
      <c r="DR105" s="493"/>
      <c r="DS105" s="493"/>
      <c r="DT105" s="493"/>
      <c r="DU105" s="493"/>
      <c r="DV105" s="493"/>
      <c r="DW105" s="493"/>
      <c r="DX105" s="493"/>
      <c r="DY105" s="493"/>
      <c r="DZ105" s="493"/>
      <c r="EA105" s="493"/>
      <c r="EB105" s="493"/>
      <c r="EC105" s="493"/>
      <c r="ED105" s="493"/>
      <c r="EE105" s="493"/>
      <c r="EF105" s="493"/>
      <c r="EG105" s="493"/>
      <c r="EH105" s="493"/>
      <c r="EI105" s="493"/>
      <c r="EJ105" s="493"/>
      <c r="EK105" s="493"/>
      <c r="EL105" s="493"/>
      <c r="EM105" s="493"/>
      <c r="EN105" s="493"/>
      <c r="EO105" s="493"/>
      <c r="EP105" s="493"/>
      <c r="EQ105" s="493"/>
      <c r="ER105" s="493"/>
      <c r="ES105" s="493"/>
      <c r="ET105" s="493"/>
      <c r="EU105" s="493"/>
      <c r="EV105" s="493"/>
      <c r="EW105" s="493"/>
      <c r="EX105" s="493"/>
      <c r="EY105" s="493"/>
      <c r="EZ105" s="493"/>
      <c r="FA105" s="493"/>
      <c r="FB105" s="493"/>
      <c r="FC105" s="493"/>
      <c r="FD105" s="493"/>
      <c r="FE105" s="493"/>
      <c r="FF105" s="493"/>
      <c r="FG105" s="493"/>
      <c r="FH105" s="493"/>
      <c r="FI105" s="493"/>
      <c r="FJ105" s="493"/>
      <c r="FK105" s="493"/>
      <c r="FL105" s="493"/>
      <c r="FM105" s="493"/>
      <c r="FN105" s="493"/>
      <c r="FO105" s="493"/>
      <c r="FP105" s="493"/>
      <c r="FQ105" s="493"/>
      <c r="FR105" s="493"/>
      <c r="FS105" s="493"/>
      <c r="FT105" s="493"/>
      <c r="FU105" s="493"/>
      <c r="FV105" s="493"/>
      <c r="FW105" s="493"/>
      <c r="FX105" s="493"/>
      <c r="FY105" s="493"/>
      <c r="FZ105" s="493"/>
      <c r="GA105" s="493"/>
      <c r="GB105" s="493"/>
      <c r="GC105" s="493"/>
      <c r="GD105" s="493"/>
    </row>
    <row r="106" spans="1:186" ht="15" customHeight="1">
      <c r="A106" s="363"/>
      <c r="B106" s="364"/>
      <c r="C106" s="365"/>
      <c r="D106" s="76"/>
      <c r="F106" s="76"/>
      <c r="I106" s="76"/>
      <c r="J106" s="76"/>
      <c r="L106" s="76"/>
      <c r="N106" s="91"/>
      <c r="O106" s="492"/>
      <c r="P106" s="516">
        <f t="shared" si="34"/>
        <v>4385.6000000000004</v>
      </c>
      <c r="Q106" s="517">
        <f t="shared" si="29"/>
        <v>149.59007579333158</v>
      </c>
      <c r="R106" s="517">
        <f t="shared" si="27"/>
        <v>325.72053994892372</v>
      </c>
      <c r="S106" s="516">
        <f t="shared" si="30"/>
        <v>4385.6000000000004</v>
      </c>
      <c r="T106" s="517">
        <f t="shared" si="31"/>
        <v>221.98963554232211</v>
      </c>
      <c r="U106" s="517">
        <f t="shared" si="28"/>
        <v>483.36484601963963</v>
      </c>
      <c r="V106" s="516">
        <f t="shared" si="32"/>
        <v>3801.3595204176459</v>
      </c>
      <c r="W106" s="516">
        <f t="shared" si="26"/>
        <v>408.18554929671808</v>
      </c>
      <c r="X106" s="517">
        <f t="shared" si="33"/>
        <v>1025.3923237776105</v>
      </c>
      <c r="Y106" s="492"/>
      <c r="Z106" s="492"/>
      <c r="AA106" s="537"/>
      <c r="AB106" s="537"/>
      <c r="AC106" s="537"/>
      <c r="AD106" s="537"/>
      <c r="AE106" s="492"/>
      <c r="AF106" s="492"/>
      <c r="AG106" s="492"/>
      <c r="AH106" s="493"/>
      <c r="AI106" s="493"/>
      <c r="AJ106" s="493"/>
      <c r="AK106" s="493"/>
      <c r="AL106" s="493"/>
      <c r="AM106" s="493"/>
      <c r="AN106" s="493"/>
      <c r="AO106" s="493"/>
      <c r="AP106" s="493"/>
      <c r="AQ106" s="493"/>
      <c r="AR106" s="493"/>
      <c r="AS106" s="493"/>
      <c r="AT106" s="493"/>
      <c r="AU106" s="493"/>
      <c r="AV106" s="493"/>
      <c r="AW106" s="493"/>
      <c r="AX106" s="493"/>
      <c r="AY106" s="493"/>
      <c r="AZ106" s="493"/>
      <c r="BA106" s="493"/>
      <c r="BB106" s="493"/>
      <c r="BC106" s="493"/>
      <c r="BD106" s="493"/>
      <c r="BE106" s="493"/>
      <c r="BF106" s="493"/>
      <c r="BG106" s="493"/>
      <c r="BH106" s="493"/>
      <c r="BI106" s="493"/>
      <c r="BJ106" s="493"/>
      <c r="BK106" s="493"/>
      <c r="BL106" s="493"/>
      <c r="BM106" s="493"/>
      <c r="BN106" s="493"/>
      <c r="BO106" s="493"/>
      <c r="BP106" s="493"/>
      <c r="BQ106" s="493"/>
      <c r="BR106" s="493"/>
      <c r="BS106" s="493"/>
      <c r="BT106" s="493"/>
      <c r="BU106" s="493"/>
      <c r="BV106" s="493"/>
      <c r="BW106" s="493"/>
      <c r="BX106" s="493"/>
      <c r="BY106" s="493"/>
      <c r="BZ106" s="493"/>
      <c r="CA106" s="493"/>
      <c r="CB106" s="493"/>
      <c r="CC106" s="493"/>
      <c r="CD106" s="493"/>
      <c r="CE106" s="493"/>
      <c r="CF106" s="493"/>
      <c r="CG106" s="493"/>
      <c r="CH106" s="493"/>
      <c r="CI106" s="493"/>
      <c r="CJ106" s="493"/>
      <c r="CK106" s="493"/>
      <c r="CL106" s="493"/>
      <c r="CM106" s="493"/>
      <c r="CN106" s="493"/>
      <c r="CO106" s="493"/>
      <c r="CP106" s="493"/>
      <c r="CQ106" s="493"/>
      <c r="CR106" s="493"/>
      <c r="CS106" s="493"/>
      <c r="CT106" s="493"/>
      <c r="CU106" s="493"/>
      <c r="CV106" s="493"/>
      <c r="CW106" s="493"/>
      <c r="CX106" s="493"/>
      <c r="CY106" s="493"/>
      <c r="CZ106" s="493"/>
      <c r="DA106" s="493"/>
      <c r="DB106" s="493"/>
      <c r="DC106" s="493"/>
      <c r="DD106" s="493"/>
      <c r="DE106" s="493"/>
      <c r="DF106" s="493"/>
      <c r="DG106" s="493"/>
      <c r="DH106" s="493"/>
      <c r="DI106" s="493"/>
      <c r="DJ106" s="493"/>
      <c r="DK106" s="493"/>
      <c r="DL106" s="493"/>
      <c r="DM106" s="493"/>
      <c r="DN106" s="493"/>
      <c r="DO106" s="493"/>
      <c r="DP106" s="493"/>
      <c r="DQ106" s="493"/>
      <c r="DR106" s="493"/>
      <c r="DS106" s="493"/>
      <c r="DT106" s="493"/>
      <c r="DU106" s="493"/>
      <c r="DV106" s="493"/>
      <c r="DW106" s="493"/>
      <c r="DX106" s="493"/>
      <c r="DY106" s="493"/>
      <c r="DZ106" s="493"/>
      <c r="EA106" s="493"/>
      <c r="EB106" s="493"/>
      <c r="EC106" s="493"/>
      <c r="ED106" s="493"/>
      <c r="EE106" s="493"/>
      <c r="EF106" s="493"/>
      <c r="EG106" s="493"/>
      <c r="EH106" s="493"/>
      <c r="EI106" s="493"/>
      <c r="EJ106" s="493"/>
      <c r="EK106" s="493"/>
      <c r="EL106" s="493"/>
      <c r="EM106" s="493"/>
      <c r="EN106" s="493"/>
      <c r="EO106" s="493"/>
      <c r="EP106" s="493"/>
      <c r="EQ106" s="493"/>
      <c r="ER106" s="493"/>
      <c r="ES106" s="493"/>
      <c r="ET106" s="493"/>
      <c r="EU106" s="493"/>
      <c r="EV106" s="493"/>
      <c r="EW106" s="493"/>
      <c r="EX106" s="493"/>
      <c r="EY106" s="493"/>
      <c r="EZ106" s="493"/>
      <c r="FA106" s="493"/>
      <c r="FB106" s="493"/>
      <c r="FC106" s="493"/>
      <c r="FD106" s="493"/>
      <c r="FE106" s="493"/>
      <c r="FF106" s="493"/>
      <c r="FG106" s="493"/>
      <c r="FH106" s="493"/>
      <c r="FI106" s="493"/>
      <c r="FJ106" s="493"/>
      <c r="FK106" s="493"/>
      <c r="FL106" s="493"/>
      <c r="FM106" s="493"/>
      <c r="FN106" s="493"/>
      <c r="FO106" s="493"/>
      <c r="FP106" s="493"/>
      <c r="FQ106" s="493"/>
      <c r="FR106" s="493"/>
      <c r="FS106" s="493"/>
      <c r="FT106" s="493"/>
      <c r="FU106" s="493"/>
      <c r="FV106" s="493"/>
      <c r="FW106" s="493"/>
      <c r="FX106" s="493"/>
      <c r="FY106" s="493"/>
      <c r="FZ106" s="493"/>
      <c r="GA106" s="493"/>
      <c r="GB106" s="493"/>
      <c r="GC106" s="493"/>
      <c r="GD106" s="493"/>
    </row>
    <row r="107" spans="1:186" ht="15" customHeight="1">
      <c r="A107" s="363"/>
      <c r="B107" s="364"/>
      <c r="C107" s="365"/>
      <c r="D107" s="76"/>
      <c r="F107" s="76"/>
      <c r="I107" s="76"/>
      <c r="J107" s="76"/>
      <c r="L107" s="76"/>
      <c r="N107" s="91"/>
      <c r="O107" s="492"/>
      <c r="P107" s="516">
        <f t="shared" si="34"/>
        <v>4738</v>
      </c>
      <c r="Q107" s="517">
        <f t="shared" si="29"/>
        <v>149.59007579333158</v>
      </c>
      <c r="R107" s="517">
        <f t="shared" si="27"/>
        <v>301.49430139299284</v>
      </c>
      <c r="S107" s="516">
        <f t="shared" si="30"/>
        <v>4738</v>
      </c>
      <c r="T107" s="517">
        <f t="shared" si="31"/>
        <v>221.98963554232211</v>
      </c>
      <c r="U107" s="517">
        <f t="shared" si="28"/>
        <v>447.41343788597123</v>
      </c>
      <c r="V107" s="516">
        <f t="shared" si="32"/>
        <v>4181.4954724594108</v>
      </c>
      <c r="W107" s="516">
        <f t="shared" si="26"/>
        <v>377.85880839221471</v>
      </c>
      <c r="X107" s="517">
        <f t="shared" si="33"/>
        <v>862.91755008496773</v>
      </c>
      <c r="Y107" s="492"/>
      <c r="Z107" s="492"/>
      <c r="AA107" s="537"/>
      <c r="AB107" s="537"/>
      <c r="AC107" s="537"/>
      <c r="AD107" s="537"/>
      <c r="AE107" s="492"/>
      <c r="AF107" s="492"/>
      <c r="AG107" s="492"/>
      <c r="AH107" s="493"/>
      <c r="AI107" s="493"/>
      <c r="AJ107" s="493"/>
      <c r="AK107" s="493"/>
      <c r="AL107" s="493"/>
      <c r="AM107" s="493"/>
      <c r="AN107" s="493"/>
      <c r="AO107" s="493"/>
      <c r="AP107" s="493"/>
      <c r="AQ107" s="493"/>
      <c r="AR107" s="493"/>
      <c r="AS107" s="493"/>
      <c r="AT107" s="493"/>
      <c r="AU107" s="493"/>
      <c r="AV107" s="493"/>
      <c r="AW107" s="493"/>
      <c r="AX107" s="493"/>
      <c r="AY107" s="493"/>
      <c r="AZ107" s="493"/>
      <c r="BA107" s="493"/>
      <c r="BB107" s="493"/>
      <c r="BC107" s="493"/>
      <c r="BD107" s="493"/>
      <c r="BE107" s="493"/>
      <c r="BF107" s="493"/>
      <c r="BG107" s="493"/>
      <c r="BH107" s="493"/>
      <c r="BI107" s="493"/>
      <c r="BJ107" s="493"/>
      <c r="BK107" s="493"/>
      <c r="BL107" s="493"/>
      <c r="BM107" s="493"/>
      <c r="BN107" s="493"/>
      <c r="BO107" s="493"/>
      <c r="BP107" s="493"/>
      <c r="BQ107" s="493"/>
      <c r="BR107" s="493"/>
      <c r="BS107" s="493"/>
      <c r="BT107" s="493"/>
      <c r="BU107" s="493"/>
      <c r="BV107" s="493"/>
      <c r="BW107" s="493"/>
      <c r="BX107" s="493"/>
      <c r="BY107" s="493"/>
      <c r="BZ107" s="493"/>
      <c r="CA107" s="493"/>
      <c r="CB107" s="493"/>
      <c r="CC107" s="493"/>
      <c r="CD107" s="493"/>
      <c r="CE107" s="493"/>
      <c r="CF107" s="493"/>
      <c r="CG107" s="493"/>
      <c r="CH107" s="493"/>
      <c r="CI107" s="493"/>
      <c r="CJ107" s="493"/>
      <c r="CK107" s="493"/>
      <c r="CL107" s="493"/>
      <c r="CM107" s="493"/>
      <c r="CN107" s="493"/>
      <c r="CO107" s="493"/>
      <c r="CP107" s="493"/>
      <c r="CQ107" s="493"/>
      <c r="CR107" s="493"/>
      <c r="CS107" s="493"/>
      <c r="CT107" s="493"/>
      <c r="CU107" s="493"/>
      <c r="CV107" s="493"/>
      <c r="CW107" s="493"/>
      <c r="CX107" s="493"/>
      <c r="CY107" s="493"/>
      <c r="CZ107" s="493"/>
      <c r="DA107" s="493"/>
      <c r="DB107" s="493"/>
      <c r="DC107" s="493"/>
      <c r="DD107" s="493"/>
      <c r="DE107" s="493"/>
      <c r="DF107" s="493"/>
      <c r="DG107" s="493"/>
      <c r="DH107" s="493"/>
      <c r="DI107" s="493"/>
      <c r="DJ107" s="493"/>
      <c r="DK107" s="493"/>
      <c r="DL107" s="493"/>
      <c r="DM107" s="493"/>
      <c r="DN107" s="493"/>
      <c r="DO107" s="493"/>
      <c r="DP107" s="493"/>
      <c r="DQ107" s="493"/>
      <c r="DR107" s="493"/>
      <c r="DS107" s="493"/>
      <c r="DT107" s="493"/>
      <c r="DU107" s="493"/>
      <c r="DV107" s="493"/>
      <c r="DW107" s="493"/>
      <c r="DX107" s="493"/>
      <c r="DY107" s="493"/>
      <c r="DZ107" s="493"/>
      <c r="EA107" s="493"/>
      <c r="EB107" s="493"/>
      <c r="EC107" s="493"/>
      <c r="ED107" s="493"/>
      <c r="EE107" s="493"/>
      <c r="EF107" s="493"/>
      <c r="EG107" s="493"/>
      <c r="EH107" s="493"/>
      <c r="EI107" s="493"/>
      <c r="EJ107" s="493"/>
      <c r="EK107" s="493"/>
      <c r="EL107" s="493"/>
      <c r="EM107" s="493"/>
      <c r="EN107" s="493"/>
      <c r="EO107" s="493"/>
      <c r="EP107" s="493"/>
      <c r="EQ107" s="493"/>
      <c r="ER107" s="493"/>
      <c r="ES107" s="493"/>
      <c r="ET107" s="493"/>
      <c r="EU107" s="493"/>
      <c r="EV107" s="493"/>
      <c r="EW107" s="493"/>
      <c r="EX107" s="493"/>
      <c r="EY107" s="493"/>
      <c r="EZ107" s="493"/>
      <c r="FA107" s="493"/>
      <c r="FB107" s="493"/>
      <c r="FC107" s="493"/>
      <c r="FD107" s="493"/>
      <c r="FE107" s="493"/>
      <c r="FF107" s="493"/>
      <c r="FG107" s="493"/>
      <c r="FH107" s="493"/>
      <c r="FI107" s="493"/>
      <c r="FJ107" s="493"/>
      <c r="FK107" s="493"/>
      <c r="FL107" s="493"/>
      <c r="FM107" s="493"/>
      <c r="FN107" s="493"/>
      <c r="FO107" s="493"/>
      <c r="FP107" s="493"/>
      <c r="FQ107" s="493"/>
      <c r="FR107" s="493"/>
      <c r="FS107" s="493"/>
      <c r="FT107" s="493"/>
      <c r="FU107" s="493"/>
      <c r="FV107" s="493"/>
      <c r="FW107" s="493"/>
      <c r="FX107" s="493"/>
      <c r="FY107" s="493"/>
      <c r="FZ107" s="493"/>
      <c r="GA107" s="493"/>
      <c r="GB107" s="493"/>
      <c r="GC107" s="493"/>
      <c r="GD107" s="493"/>
    </row>
    <row r="108" spans="1:186" ht="15" customHeight="1">
      <c r="A108" s="363"/>
      <c r="B108" s="364"/>
      <c r="C108" s="365"/>
      <c r="D108" s="76"/>
      <c r="F108" s="76"/>
      <c r="I108" s="76"/>
      <c r="J108" s="76"/>
      <c r="L108" s="76"/>
      <c r="O108" s="492"/>
      <c r="P108" s="516">
        <f t="shared" si="34"/>
        <v>5090.3999999999996</v>
      </c>
      <c r="Q108" s="517">
        <f t="shared" si="29"/>
        <v>149.59007579333158</v>
      </c>
      <c r="R108" s="517">
        <f t="shared" si="27"/>
        <v>280.62234794908062</v>
      </c>
      <c r="S108" s="516">
        <f t="shared" si="30"/>
        <v>5090.3999999999996</v>
      </c>
      <c r="T108" s="517">
        <f t="shared" si="31"/>
        <v>221.98963554232211</v>
      </c>
      <c r="U108" s="517">
        <f t="shared" si="28"/>
        <v>416.43974318398006</v>
      </c>
      <c r="V108" s="516">
        <f t="shared" si="32"/>
        <v>4599.6450197053528</v>
      </c>
      <c r="W108" s="516">
        <f t="shared" si="26"/>
        <v>349.78523694820188</v>
      </c>
      <c r="X108" s="517">
        <f t="shared" si="33"/>
        <v>726.18711977615624</v>
      </c>
      <c r="Y108" s="492"/>
      <c r="Z108" s="492"/>
      <c r="AA108" s="537"/>
      <c r="AB108" s="537"/>
      <c r="AC108" s="537"/>
      <c r="AD108" s="537"/>
      <c r="AE108" s="492"/>
      <c r="AF108" s="492"/>
      <c r="AG108" s="492"/>
      <c r="AH108" s="493"/>
      <c r="AI108" s="493"/>
      <c r="AJ108" s="493"/>
      <c r="AK108" s="493"/>
      <c r="AL108" s="493"/>
      <c r="AM108" s="493"/>
      <c r="AN108" s="493"/>
      <c r="AO108" s="493"/>
      <c r="AP108" s="493"/>
      <c r="AQ108" s="493"/>
      <c r="AR108" s="493"/>
      <c r="AS108" s="493"/>
      <c r="AT108" s="493"/>
      <c r="AU108" s="493"/>
      <c r="AV108" s="493"/>
      <c r="AW108" s="493"/>
      <c r="AX108" s="493"/>
      <c r="AY108" s="493"/>
      <c r="AZ108" s="493"/>
      <c r="BA108" s="493"/>
      <c r="BB108" s="493"/>
      <c r="BC108" s="493"/>
      <c r="BD108" s="493"/>
      <c r="BE108" s="493"/>
      <c r="BF108" s="493"/>
      <c r="BG108" s="493"/>
      <c r="BH108" s="493"/>
      <c r="BI108" s="493"/>
      <c r="BJ108" s="493"/>
      <c r="BK108" s="493"/>
      <c r="BL108" s="493"/>
      <c r="BM108" s="493"/>
      <c r="BN108" s="493"/>
      <c r="BO108" s="493"/>
      <c r="BP108" s="493"/>
      <c r="BQ108" s="493"/>
      <c r="BR108" s="493"/>
      <c r="BS108" s="493"/>
      <c r="BT108" s="493"/>
      <c r="BU108" s="493"/>
      <c r="BV108" s="493"/>
      <c r="BW108" s="493"/>
      <c r="BX108" s="493"/>
      <c r="BY108" s="493"/>
      <c r="BZ108" s="493"/>
      <c r="CA108" s="493"/>
      <c r="CB108" s="493"/>
      <c r="CC108" s="493"/>
      <c r="CD108" s="493"/>
      <c r="CE108" s="493"/>
      <c r="CF108" s="493"/>
      <c r="CG108" s="493"/>
      <c r="CH108" s="493"/>
      <c r="CI108" s="493"/>
      <c r="CJ108" s="493"/>
      <c r="CK108" s="493"/>
      <c r="CL108" s="493"/>
      <c r="CM108" s="493"/>
      <c r="CN108" s="493"/>
      <c r="CO108" s="493"/>
      <c r="CP108" s="493"/>
      <c r="CQ108" s="493"/>
      <c r="CR108" s="493"/>
      <c r="CS108" s="493"/>
      <c r="CT108" s="493"/>
      <c r="CU108" s="493"/>
      <c r="CV108" s="493"/>
      <c r="CW108" s="493"/>
      <c r="CX108" s="493"/>
      <c r="CY108" s="493"/>
      <c r="CZ108" s="493"/>
      <c r="DA108" s="493"/>
      <c r="DB108" s="493"/>
      <c r="DC108" s="493"/>
      <c r="DD108" s="493"/>
      <c r="DE108" s="493"/>
      <c r="DF108" s="493"/>
      <c r="DG108" s="493"/>
      <c r="DH108" s="493"/>
      <c r="DI108" s="493"/>
      <c r="DJ108" s="493"/>
      <c r="DK108" s="493"/>
      <c r="DL108" s="493"/>
      <c r="DM108" s="493"/>
      <c r="DN108" s="493"/>
      <c r="DO108" s="493"/>
      <c r="DP108" s="493"/>
      <c r="DQ108" s="493"/>
      <c r="DR108" s="493"/>
      <c r="DS108" s="493"/>
      <c r="DT108" s="493"/>
      <c r="DU108" s="493"/>
      <c r="DV108" s="493"/>
      <c r="DW108" s="493"/>
      <c r="DX108" s="493"/>
      <c r="DY108" s="493"/>
      <c r="DZ108" s="493"/>
      <c r="EA108" s="493"/>
      <c r="EB108" s="493"/>
      <c r="EC108" s="493"/>
      <c r="ED108" s="493"/>
      <c r="EE108" s="493"/>
      <c r="EF108" s="493"/>
      <c r="EG108" s="493"/>
      <c r="EH108" s="493"/>
      <c r="EI108" s="493"/>
      <c r="EJ108" s="493"/>
      <c r="EK108" s="493"/>
      <c r="EL108" s="493"/>
      <c r="EM108" s="493"/>
      <c r="EN108" s="493"/>
      <c r="EO108" s="493"/>
      <c r="EP108" s="493"/>
      <c r="EQ108" s="493"/>
      <c r="ER108" s="493"/>
      <c r="ES108" s="493"/>
      <c r="ET108" s="493"/>
      <c r="EU108" s="493"/>
      <c r="EV108" s="493"/>
      <c r="EW108" s="493"/>
      <c r="EX108" s="493"/>
      <c r="EY108" s="493"/>
      <c r="EZ108" s="493"/>
      <c r="FA108" s="493"/>
      <c r="FB108" s="493"/>
      <c r="FC108" s="493"/>
      <c r="FD108" s="493"/>
      <c r="FE108" s="493"/>
      <c r="FF108" s="493"/>
      <c r="FG108" s="493"/>
      <c r="FH108" s="493"/>
      <c r="FI108" s="493"/>
      <c r="FJ108" s="493"/>
      <c r="FK108" s="493"/>
      <c r="FL108" s="493"/>
      <c r="FM108" s="493"/>
      <c r="FN108" s="493"/>
      <c r="FO108" s="493"/>
      <c r="FP108" s="493"/>
      <c r="FQ108" s="493"/>
      <c r="FR108" s="493"/>
      <c r="FS108" s="493"/>
      <c r="FT108" s="493"/>
      <c r="FU108" s="493"/>
      <c r="FV108" s="493"/>
      <c r="FW108" s="493"/>
      <c r="FX108" s="493"/>
      <c r="FY108" s="493"/>
      <c r="FZ108" s="493"/>
      <c r="GA108" s="493"/>
      <c r="GB108" s="493"/>
      <c r="GC108" s="493"/>
      <c r="GD108" s="493"/>
    </row>
    <row r="109" spans="1:186" ht="15" customHeight="1">
      <c r="A109" s="363"/>
      <c r="B109" s="364"/>
      <c r="C109" s="365"/>
      <c r="D109" s="76"/>
      <c r="F109" s="76"/>
      <c r="I109" s="76"/>
      <c r="J109" s="76"/>
      <c r="L109" s="76"/>
      <c r="O109" s="492"/>
      <c r="P109" s="516">
        <f t="shared" si="34"/>
        <v>5442.7999999999993</v>
      </c>
      <c r="Q109" s="517">
        <f t="shared" si="29"/>
        <v>149.59007579333158</v>
      </c>
      <c r="R109" s="517">
        <f t="shared" si="27"/>
        <v>262.45314911442642</v>
      </c>
      <c r="S109" s="516">
        <f t="shared" si="30"/>
        <v>5442.7999999999993</v>
      </c>
      <c r="T109" s="517">
        <f t="shared" si="31"/>
        <v>221.98963554232211</v>
      </c>
      <c r="U109" s="517">
        <f t="shared" si="28"/>
        <v>389.47689951931579</v>
      </c>
      <c r="V109" s="516">
        <f t="shared" si="32"/>
        <v>5059.6095216758886</v>
      </c>
      <c r="W109" s="516">
        <f t="shared" si="26"/>
        <v>323.79743245236608</v>
      </c>
      <c r="X109" s="517">
        <f t="shared" si="33"/>
        <v>611.12180749697791</v>
      </c>
      <c r="Y109" s="492"/>
      <c r="Z109" s="492"/>
      <c r="AA109" s="537"/>
      <c r="AB109" s="537"/>
      <c r="AC109" s="537"/>
      <c r="AD109" s="537"/>
      <c r="AE109" s="492"/>
      <c r="AF109" s="492"/>
      <c r="AG109" s="492"/>
      <c r="AH109" s="493"/>
      <c r="AI109" s="493"/>
      <c r="AJ109" s="493"/>
      <c r="AK109" s="493"/>
      <c r="AL109" s="493"/>
      <c r="AM109" s="493"/>
      <c r="AN109" s="493"/>
      <c r="AO109" s="493"/>
      <c r="AP109" s="493"/>
      <c r="AQ109" s="493"/>
      <c r="AR109" s="493"/>
      <c r="AS109" s="493"/>
      <c r="AT109" s="493"/>
      <c r="AU109" s="493"/>
      <c r="AV109" s="493"/>
      <c r="AW109" s="493"/>
      <c r="AX109" s="493"/>
      <c r="AY109" s="493"/>
      <c r="AZ109" s="493"/>
      <c r="BA109" s="493"/>
      <c r="BB109" s="493"/>
      <c r="BC109" s="493"/>
      <c r="BD109" s="493"/>
      <c r="BE109" s="493"/>
      <c r="BF109" s="493"/>
      <c r="BG109" s="493"/>
      <c r="BH109" s="493"/>
      <c r="BI109" s="493"/>
      <c r="BJ109" s="493"/>
      <c r="BK109" s="493"/>
      <c r="BL109" s="493"/>
      <c r="BM109" s="493"/>
      <c r="BN109" s="493"/>
      <c r="BO109" s="493"/>
      <c r="BP109" s="493"/>
      <c r="BQ109" s="493"/>
      <c r="BR109" s="493"/>
      <c r="BS109" s="493"/>
      <c r="BT109" s="493"/>
      <c r="BU109" s="493"/>
      <c r="BV109" s="493"/>
      <c r="BW109" s="493"/>
      <c r="BX109" s="493"/>
      <c r="BY109" s="493"/>
      <c r="BZ109" s="493"/>
      <c r="CA109" s="493"/>
      <c r="CB109" s="493"/>
      <c r="CC109" s="493"/>
      <c r="CD109" s="493"/>
      <c r="CE109" s="493"/>
      <c r="CF109" s="493"/>
      <c r="CG109" s="493"/>
      <c r="CH109" s="493"/>
      <c r="CI109" s="493"/>
      <c r="CJ109" s="493"/>
      <c r="CK109" s="493"/>
      <c r="CL109" s="493"/>
      <c r="CM109" s="493"/>
      <c r="CN109" s="493"/>
      <c r="CO109" s="493"/>
      <c r="CP109" s="493"/>
      <c r="CQ109" s="493"/>
      <c r="CR109" s="493"/>
      <c r="CS109" s="493"/>
      <c r="CT109" s="493"/>
      <c r="CU109" s="493"/>
      <c r="CV109" s="493"/>
      <c r="CW109" s="493"/>
      <c r="CX109" s="493"/>
      <c r="CY109" s="493"/>
      <c r="CZ109" s="493"/>
      <c r="DA109" s="493"/>
      <c r="DB109" s="493"/>
      <c r="DC109" s="493"/>
      <c r="DD109" s="493"/>
      <c r="DE109" s="493"/>
      <c r="DF109" s="493"/>
      <c r="DG109" s="493"/>
      <c r="DH109" s="493"/>
      <c r="DI109" s="493"/>
      <c r="DJ109" s="493"/>
      <c r="DK109" s="493"/>
      <c r="DL109" s="493"/>
      <c r="DM109" s="493"/>
      <c r="DN109" s="493"/>
      <c r="DO109" s="493"/>
      <c r="DP109" s="493"/>
      <c r="DQ109" s="493"/>
      <c r="DR109" s="493"/>
      <c r="DS109" s="493"/>
      <c r="DT109" s="493"/>
      <c r="DU109" s="493"/>
      <c r="DV109" s="493"/>
      <c r="DW109" s="493"/>
      <c r="DX109" s="493"/>
      <c r="DY109" s="493"/>
      <c r="DZ109" s="493"/>
      <c r="EA109" s="493"/>
      <c r="EB109" s="493"/>
      <c r="EC109" s="493"/>
      <c r="ED109" s="493"/>
      <c r="EE109" s="493"/>
      <c r="EF109" s="493"/>
      <c r="EG109" s="493"/>
      <c r="EH109" s="493"/>
      <c r="EI109" s="493"/>
      <c r="EJ109" s="493"/>
      <c r="EK109" s="493"/>
      <c r="EL109" s="493"/>
      <c r="EM109" s="493"/>
      <c r="EN109" s="493"/>
      <c r="EO109" s="493"/>
      <c r="EP109" s="493"/>
      <c r="EQ109" s="493"/>
      <c r="ER109" s="493"/>
      <c r="ES109" s="493"/>
      <c r="ET109" s="493"/>
      <c r="EU109" s="493"/>
      <c r="EV109" s="493"/>
      <c r="EW109" s="493"/>
      <c r="EX109" s="493"/>
      <c r="EY109" s="493"/>
      <c r="EZ109" s="493"/>
      <c r="FA109" s="493"/>
      <c r="FB109" s="493"/>
      <c r="FC109" s="493"/>
      <c r="FD109" s="493"/>
      <c r="FE109" s="493"/>
      <c r="FF109" s="493"/>
      <c r="FG109" s="493"/>
      <c r="FH109" s="493"/>
      <c r="FI109" s="493"/>
      <c r="FJ109" s="493"/>
      <c r="FK109" s="493"/>
      <c r="FL109" s="493"/>
      <c r="FM109" s="493"/>
      <c r="FN109" s="493"/>
      <c r="FO109" s="493"/>
      <c r="FP109" s="493"/>
      <c r="FQ109" s="493"/>
      <c r="FR109" s="493"/>
      <c r="FS109" s="493"/>
      <c r="FT109" s="493"/>
      <c r="FU109" s="493"/>
      <c r="FV109" s="493"/>
      <c r="FW109" s="493"/>
      <c r="FX109" s="493"/>
      <c r="FY109" s="493"/>
      <c r="FZ109" s="493"/>
      <c r="GA109" s="493"/>
      <c r="GB109" s="493"/>
      <c r="GC109" s="493"/>
      <c r="GD109" s="493"/>
    </row>
    <row r="110" spans="1:186" ht="15" customHeight="1">
      <c r="A110" s="363"/>
      <c r="B110" s="364"/>
      <c r="C110" s="365"/>
      <c r="D110" s="76"/>
      <c r="F110" s="76"/>
      <c r="I110" s="76"/>
      <c r="J110" s="76"/>
      <c r="L110" s="76"/>
      <c r="O110" s="492"/>
      <c r="P110" s="516">
        <f t="shared" si="34"/>
        <v>5795.1999999999989</v>
      </c>
      <c r="Q110" s="517">
        <f t="shared" si="29"/>
        <v>149.59007579333158</v>
      </c>
      <c r="R110" s="517">
        <f t="shared" si="27"/>
        <v>246.49364991717289</v>
      </c>
      <c r="S110" s="516">
        <f t="shared" si="30"/>
        <v>5795.1999999999989</v>
      </c>
      <c r="T110" s="517">
        <f t="shared" si="31"/>
        <v>221.98963554232211</v>
      </c>
      <c r="U110" s="517">
        <f t="shared" si="28"/>
        <v>365.79322002756282</v>
      </c>
      <c r="V110" s="516">
        <f t="shared" si="32"/>
        <v>5565.5704738434779</v>
      </c>
      <c r="W110" s="516">
        <f t="shared" si="26"/>
        <v>299.74042980627735</v>
      </c>
      <c r="X110" s="517">
        <f t="shared" si="33"/>
        <v>514.28874656093285</v>
      </c>
      <c r="Y110" s="492"/>
      <c r="Z110" s="492"/>
      <c r="AA110" s="537"/>
      <c r="AB110" s="537"/>
      <c r="AC110" s="537"/>
      <c r="AD110" s="537"/>
      <c r="AE110" s="492"/>
      <c r="AF110" s="492"/>
      <c r="AG110" s="492"/>
      <c r="AH110" s="493"/>
      <c r="AI110" s="493"/>
      <c r="AJ110" s="493"/>
      <c r="AK110" s="493"/>
      <c r="AL110" s="493"/>
      <c r="AM110" s="493"/>
      <c r="AN110" s="493"/>
      <c r="AO110" s="493"/>
      <c r="AP110" s="493"/>
      <c r="AQ110" s="493"/>
      <c r="AR110" s="493"/>
      <c r="AS110" s="493"/>
      <c r="AT110" s="493"/>
      <c r="AU110" s="493"/>
      <c r="AV110" s="493"/>
      <c r="AW110" s="493"/>
      <c r="AX110" s="493"/>
      <c r="AY110" s="493"/>
      <c r="AZ110" s="493"/>
      <c r="BA110" s="493"/>
      <c r="BB110" s="493"/>
      <c r="BC110" s="493"/>
      <c r="BD110" s="493"/>
      <c r="BE110" s="493"/>
      <c r="BF110" s="493"/>
      <c r="BG110" s="493"/>
      <c r="BH110" s="493"/>
      <c r="BI110" s="493"/>
      <c r="BJ110" s="493"/>
      <c r="BK110" s="493"/>
      <c r="BL110" s="493"/>
      <c r="BM110" s="493"/>
      <c r="BN110" s="493"/>
      <c r="BO110" s="493"/>
      <c r="BP110" s="493"/>
      <c r="BQ110" s="493"/>
      <c r="BR110" s="493"/>
      <c r="BS110" s="493"/>
      <c r="BT110" s="493"/>
      <c r="BU110" s="493"/>
      <c r="BV110" s="493"/>
      <c r="BW110" s="493"/>
      <c r="BX110" s="493"/>
      <c r="BY110" s="493"/>
      <c r="BZ110" s="493"/>
      <c r="CA110" s="493"/>
      <c r="CB110" s="493"/>
      <c r="CC110" s="493"/>
      <c r="CD110" s="493"/>
      <c r="CE110" s="493"/>
      <c r="CF110" s="493"/>
      <c r="CG110" s="493"/>
      <c r="CH110" s="493"/>
      <c r="CI110" s="493"/>
      <c r="CJ110" s="493"/>
      <c r="CK110" s="493"/>
      <c r="CL110" s="493"/>
      <c r="CM110" s="493"/>
      <c r="CN110" s="493"/>
      <c r="CO110" s="493"/>
      <c r="CP110" s="493"/>
      <c r="CQ110" s="493"/>
      <c r="CR110" s="493"/>
      <c r="CS110" s="493"/>
      <c r="CT110" s="493"/>
      <c r="CU110" s="493"/>
      <c r="CV110" s="493"/>
      <c r="CW110" s="493"/>
      <c r="CX110" s="493"/>
      <c r="CY110" s="493"/>
      <c r="CZ110" s="493"/>
      <c r="DA110" s="493"/>
      <c r="DB110" s="493"/>
      <c r="DC110" s="493"/>
      <c r="DD110" s="493"/>
      <c r="DE110" s="493"/>
      <c r="DF110" s="493"/>
      <c r="DG110" s="493"/>
      <c r="DH110" s="493"/>
      <c r="DI110" s="493"/>
      <c r="DJ110" s="493"/>
      <c r="DK110" s="493"/>
      <c r="DL110" s="493"/>
      <c r="DM110" s="493"/>
      <c r="DN110" s="493"/>
      <c r="DO110" s="493"/>
      <c r="DP110" s="493"/>
      <c r="DQ110" s="493"/>
      <c r="DR110" s="493"/>
      <c r="DS110" s="493"/>
      <c r="DT110" s="493"/>
      <c r="DU110" s="493"/>
      <c r="DV110" s="493"/>
      <c r="DW110" s="493"/>
      <c r="DX110" s="493"/>
      <c r="DY110" s="493"/>
      <c r="DZ110" s="493"/>
      <c r="EA110" s="493"/>
      <c r="EB110" s="493"/>
      <c r="EC110" s="493"/>
      <c r="ED110" s="493"/>
      <c r="EE110" s="493"/>
      <c r="EF110" s="493"/>
      <c r="EG110" s="493"/>
      <c r="EH110" s="493"/>
      <c r="EI110" s="493"/>
      <c r="EJ110" s="493"/>
      <c r="EK110" s="493"/>
      <c r="EL110" s="493"/>
      <c r="EM110" s="493"/>
      <c r="EN110" s="493"/>
      <c r="EO110" s="493"/>
      <c r="EP110" s="493"/>
      <c r="EQ110" s="493"/>
      <c r="ER110" s="493"/>
      <c r="ES110" s="493"/>
      <c r="ET110" s="493"/>
      <c r="EU110" s="493"/>
      <c r="EV110" s="493"/>
      <c r="EW110" s="493"/>
      <c r="EX110" s="493"/>
      <c r="EY110" s="493"/>
      <c r="EZ110" s="493"/>
      <c r="FA110" s="493"/>
      <c r="FB110" s="493"/>
      <c r="FC110" s="493"/>
      <c r="FD110" s="493"/>
      <c r="FE110" s="493"/>
      <c r="FF110" s="493"/>
      <c r="FG110" s="493"/>
      <c r="FH110" s="493"/>
      <c r="FI110" s="493"/>
      <c r="FJ110" s="493"/>
      <c r="FK110" s="493"/>
      <c r="FL110" s="493"/>
      <c r="FM110" s="493"/>
      <c r="FN110" s="493"/>
      <c r="FO110" s="493"/>
      <c r="FP110" s="493"/>
      <c r="FQ110" s="493"/>
      <c r="FR110" s="493"/>
      <c r="FS110" s="493"/>
      <c r="FT110" s="493"/>
      <c r="FU110" s="493"/>
      <c r="FV110" s="493"/>
      <c r="FW110" s="493"/>
      <c r="FX110" s="493"/>
      <c r="FY110" s="493"/>
      <c r="FZ110" s="493"/>
      <c r="GA110" s="493"/>
      <c r="GB110" s="493"/>
      <c r="GC110" s="493"/>
      <c r="GD110" s="493"/>
    </row>
    <row r="111" spans="1:186" ht="15" customHeight="1" thickBot="1">
      <c r="A111" s="366"/>
      <c r="B111" s="367"/>
      <c r="C111" s="368"/>
      <c r="D111" s="76"/>
      <c r="F111" s="76"/>
      <c r="I111" s="76"/>
      <c r="J111" s="76"/>
      <c r="L111" s="76"/>
      <c r="O111" s="492"/>
      <c r="P111" s="516">
        <f t="shared" si="34"/>
        <v>6147.5999999999985</v>
      </c>
      <c r="Q111" s="517">
        <f t="shared" si="29"/>
        <v>149.59007579333158</v>
      </c>
      <c r="R111" s="517">
        <f t="shared" si="27"/>
        <v>232.36384930704671</v>
      </c>
      <c r="S111" s="516">
        <f>S110+($S$112-$S$102)/10</f>
        <v>6147.5999999999985</v>
      </c>
      <c r="T111" s="517">
        <f t="shared" si="31"/>
        <v>221.98963554232211</v>
      </c>
      <c r="U111" s="517">
        <f t="shared" si="28"/>
        <v>344.82478832450585</v>
      </c>
      <c r="V111" s="516">
        <f t="shared" si="32"/>
        <v>6122.127521227826</v>
      </c>
      <c r="W111" s="516">
        <f t="shared" si="26"/>
        <v>277.4707772695786</v>
      </c>
      <c r="X111" s="517">
        <f t="shared" si="33"/>
        <v>432.79901256104887</v>
      </c>
      <c r="Y111" s="492"/>
      <c r="Z111" s="492"/>
      <c r="AA111" s="537"/>
      <c r="AB111" s="537"/>
      <c r="AC111" s="537"/>
      <c r="AD111" s="537"/>
      <c r="AE111" s="492"/>
      <c r="AF111" s="492"/>
      <c r="AG111" s="492"/>
      <c r="AH111" s="493"/>
      <c r="AI111" s="493"/>
      <c r="AJ111" s="493"/>
      <c r="AK111" s="493"/>
      <c r="AL111" s="493"/>
      <c r="AM111" s="493"/>
      <c r="AN111" s="493"/>
      <c r="AO111" s="493"/>
      <c r="AP111" s="493"/>
      <c r="AQ111" s="493"/>
      <c r="AR111" s="493"/>
      <c r="AS111" s="493"/>
      <c r="AT111" s="493"/>
      <c r="AU111" s="493"/>
      <c r="AV111" s="493"/>
      <c r="AW111" s="493"/>
      <c r="AX111" s="493"/>
      <c r="AY111" s="493"/>
      <c r="AZ111" s="493"/>
      <c r="BA111" s="493"/>
      <c r="BB111" s="493"/>
      <c r="BC111" s="493"/>
      <c r="BD111" s="493"/>
      <c r="BE111" s="493"/>
      <c r="BF111" s="493"/>
      <c r="BG111" s="493"/>
      <c r="BH111" s="493"/>
      <c r="BI111" s="493"/>
      <c r="BJ111" s="493"/>
      <c r="BK111" s="493"/>
      <c r="BL111" s="493"/>
      <c r="BM111" s="493"/>
      <c r="BN111" s="493"/>
      <c r="BO111" s="493"/>
      <c r="BP111" s="493"/>
      <c r="BQ111" s="493"/>
      <c r="BR111" s="493"/>
      <c r="BS111" s="493"/>
      <c r="BT111" s="493"/>
      <c r="BU111" s="493"/>
      <c r="BV111" s="493"/>
      <c r="BW111" s="493"/>
      <c r="BX111" s="493"/>
      <c r="BY111" s="493"/>
      <c r="BZ111" s="493"/>
      <c r="CA111" s="493"/>
      <c r="CB111" s="493"/>
      <c r="CC111" s="493"/>
      <c r="CD111" s="493"/>
      <c r="CE111" s="493"/>
      <c r="CF111" s="493"/>
      <c r="CG111" s="493"/>
      <c r="CH111" s="493"/>
      <c r="CI111" s="493"/>
      <c r="CJ111" s="493"/>
      <c r="CK111" s="493"/>
      <c r="CL111" s="493"/>
      <c r="CM111" s="493"/>
      <c r="CN111" s="493"/>
      <c r="CO111" s="493"/>
      <c r="CP111" s="493"/>
      <c r="CQ111" s="493"/>
      <c r="CR111" s="493"/>
      <c r="CS111" s="493"/>
      <c r="CT111" s="493"/>
      <c r="CU111" s="493"/>
      <c r="CV111" s="493"/>
      <c r="CW111" s="493"/>
      <c r="CX111" s="493"/>
      <c r="CY111" s="493"/>
      <c r="CZ111" s="493"/>
      <c r="DA111" s="493"/>
      <c r="DB111" s="493"/>
      <c r="DC111" s="493"/>
      <c r="DD111" s="493"/>
      <c r="DE111" s="493"/>
      <c r="DF111" s="493"/>
      <c r="DG111" s="493"/>
      <c r="DH111" s="493"/>
      <c r="DI111" s="493"/>
      <c r="DJ111" s="493"/>
      <c r="DK111" s="493"/>
      <c r="DL111" s="493"/>
      <c r="DM111" s="493"/>
      <c r="DN111" s="493"/>
      <c r="DO111" s="493"/>
      <c r="DP111" s="493"/>
      <c r="DQ111" s="493"/>
      <c r="DR111" s="493"/>
      <c r="DS111" s="493"/>
      <c r="DT111" s="493"/>
      <c r="DU111" s="493"/>
      <c r="DV111" s="493"/>
      <c r="DW111" s="493"/>
      <c r="DX111" s="493"/>
      <c r="DY111" s="493"/>
      <c r="DZ111" s="493"/>
      <c r="EA111" s="493"/>
      <c r="EB111" s="493"/>
      <c r="EC111" s="493"/>
      <c r="ED111" s="493"/>
      <c r="EE111" s="493"/>
      <c r="EF111" s="493"/>
      <c r="EG111" s="493"/>
      <c r="EH111" s="493"/>
      <c r="EI111" s="493"/>
      <c r="EJ111" s="493"/>
      <c r="EK111" s="493"/>
      <c r="EL111" s="493"/>
      <c r="EM111" s="493"/>
      <c r="EN111" s="493"/>
      <c r="EO111" s="493"/>
      <c r="EP111" s="493"/>
      <c r="EQ111" s="493"/>
      <c r="ER111" s="493"/>
      <c r="ES111" s="493"/>
      <c r="ET111" s="493"/>
      <c r="EU111" s="493"/>
      <c r="EV111" s="493"/>
      <c r="EW111" s="493"/>
      <c r="EX111" s="493"/>
      <c r="EY111" s="493"/>
      <c r="EZ111" s="493"/>
      <c r="FA111" s="493"/>
      <c r="FB111" s="493"/>
      <c r="FC111" s="493"/>
      <c r="FD111" s="493"/>
      <c r="FE111" s="493"/>
      <c r="FF111" s="493"/>
      <c r="FG111" s="493"/>
      <c r="FH111" s="493"/>
      <c r="FI111" s="493"/>
      <c r="FJ111" s="493"/>
      <c r="FK111" s="493"/>
      <c r="FL111" s="493"/>
      <c r="FM111" s="493"/>
      <c r="FN111" s="493"/>
      <c r="FO111" s="493"/>
      <c r="FP111" s="493"/>
      <c r="FQ111" s="493"/>
      <c r="FR111" s="493"/>
      <c r="FS111" s="493"/>
      <c r="FT111" s="493"/>
      <c r="FU111" s="493"/>
      <c r="FV111" s="493"/>
      <c r="FW111" s="493"/>
      <c r="FX111" s="493"/>
      <c r="FY111" s="493"/>
      <c r="FZ111" s="493"/>
      <c r="GA111" s="493"/>
      <c r="GB111" s="493"/>
      <c r="GC111" s="493"/>
      <c r="GD111" s="493"/>
    </row>
    <row r="112" spans="1:186" ht="22.5" customHeight="1" thickBot="1">
      <c r="A112" s="426" t="s">
        <v>225</v>
      </c>
      <c r="B112" s="94" t="s">
        <v>224</v>
      </c>
      <c r="C112" s="358">
        <v>4</v>
      </c>
      <c r="D112" s="193">
        <f>TRUNC(E87*C112,-1)</f>
        <v>11900</v>
      </c>
      <c r="F112" s="76"/>
      <c r="I112" s="76"/>
      <c r="J112" s="76"/>
      <c r="L112" s="76"/>
      <c r="O112" s="492"/>
      <c r="P112" s="516">
        <f>IF(G87&gt;E87*C112,E87*C112,G87)</f>
        <v>6500</v>
      </c>
      <c r="Q112" s="517">
        <f>R112*P112*PI()/30000</f>
        <v>149.59007579333158</v>
      </c>
      <c r="R112" s="517">
        <f>R106*P106/P112</f>
        <v>219.76615384615386</v>
      </c>
      <c r="S112" s="516">
        <f>M87</f>
        <v>6500</v>
      </c>
      <c r="T112" s="517">
        <f>U112*S112*PI()/30000</f>
        <v>221.98963554232211</v>
      </c>
      <c r="U112" s="517">
        <f>U106*S106/S112</f>
        <v>326.12997980057412</v>
      </c>
      <c r="V112" s="516">
        <f t="shared" si="32"/>
        <v>6500</v>
      </c>
      <c r="W112" s="516">
        <f t="shared" si="26"/>
        <v>264.33115449325362</v>
      </c>
      <c r="X112" s="517">
        <f t="shared" si="33"/>
        <v>388.33486016112715</v>
      </c>
      <c r="Y112" s="492"/>
      <c r="Z112" s="492"/>
      <c r="AA112" s="537"/>
      <c r="AB112" s="537"/>
      <c r="AC112" s="537"/>
      <c r="AD112" s="537"/>
      <c r="AE112" s="492"/>
      <c r="AF112" s="492"/>
      <c r="AG112" s="492"/>
      <c r="AH112" s="493"/>
      <c r="AI112" s="493"/>
      <c r="AJ112" s="493"/>
      <c r="AK112" s="493"/>
      <c r="AL112" s="493"/>
      <c r="AM112" s="493"/>
      <c r="AN112" s="493"/>
      <c r="AO112" s="493"/>
      <c r="AP112" s="493"/>
      <c r="AQ112" s="493"/>
      <c r="AR112" s="493"/>
      <c r="AS112" s="493"/>
      <c r="AT112" s="493"/>
      <c r="AU112" s="493"/>
      <c r="AV112" s="493"/>
      <c r="AW112" s="493"/>
      <c r="AX112" s="493"/>
      <c r="AY112" s="493"/>
      <c r="AZ112" s="493"/>
      <c r="BA112" s="493"/>
      <c r="BB112" s="493"/>
      <c r="BC112" s="493"/>
      <c r="BD112" s="493"/>
      <c r="BE112" s="493"/>
      <c r="BF112" s="493"/>
      <c r="BG112" s="493"/>
      <c r="BH112" s="493"/>
      <c r="BI112" s="493"/>
      <c r="BJ112" s="493"/>
      <c r="BK112" s="493"/>
      <c r="BL112" s="493"/>
      <c r="BM112" s="493"/>
      <c r="BN112" s="493"/>
      <c r="BO112" s="493"/>
      <c r="BP112" s="493"/>
      <c r="BQ112" s="493"/>
      <c r="BR112" s="493"/>
      <c r="BS112" s="493"/>
      <c r="BT112" s="493"/>
      <c r="BU112" s="493"/>
      <c r="BV112" s="493"/>
      <c r="BW112" s="493"/>
      <c r="BX112" s="493"/>
      <c r="BY112" s="493"/>
      <c r="BZ112" s="493"/>
      <c r="CA112" s="493"/>
      <c r="CB112" s="493"/>
      <c r="CC112" s="493"/>
      <c r="CD112" s="493"/>
      <c r="CE112" s="493"/>
      <c r="CF112" s="493"/>
      <c r="CG112" s="493"/>
      <c r="CH112" s="493"/>
      <c r="CI112" s="493"/>
      <c r="CJ112" s="493"/>
      <c r="CK112" s="493"/>
      <c r="CL112" s="493"/>
      <c r="CM112" s="493"/>
      <c r="CN112" s="493"/>
      <c r="CO112" s="493"/>
      <c r="CP112" s="493"/>
      <c r="CQ112" s="493"/>
      <c r="CR112" s="493"/>
      <c r="CS112" s="493"/>
      <c r="CT112" s="493"/>
      <c r="CU112" s="493"/>
      <c r="CV112" s="493"/>
      <c r="CW112" s="493"/>
      <c r="CX112" s="493"/>
      <c r="CY112" s="493"/>
      <c r="CZ112" s="493"/>
      <c r="DA112" s="493"/>
      <c r="DB112" s="493"/>
      <c r="DC112" s="493"/>
      <c r="DD112" s="493"/>
      <c r="DE112" s="493"/>
      <c r="DF112" s="493"/>
      <c r="DG112" s="493"/>
      <c r="DH112" s="493"/>
      <c r="DI112" s="493"/>
      <c r="DJ112" s="493"/>
      <c r="DK112" s="493"/>
      <c r="DL112" s="493"/>
      <c r="DM112" s="493"/>
      <c r="DN112" s="493"/>
      <c r="DO112" s="493"/>
      <c r="DP112" s="493"/>
      <c r="DQ112" s="493"/>
      <c r="DR112" s="493"/>
      <c r="DS112" s="493"/>
      <c r="DT112" s="493"/>
      <c r="DU112" s="493"/>
      <c r="DV112" s="493"/>
      <c r="DW112" s="493"/>
      <c r="DX112" s="493"/>
      <c r="DY112" s="493"/>
      <c r="DZ112" s="493"/>
      <c r="EA112" s="493"/>
      <c r="EB112" s="493"/>
      <c r="EC112" s="493"/>
      <c r="ED112" s="493"/>
      <c r="EE112" s="493"/>
      <c r="EF112" s="493"/>
      <c r="EG112" s="493"/>
      <c r="EH112" s="493"/>
      <c r="EI112" s="493"/>
      <c r="EJ112" s="493"/>
      <c r="EK112" s="493"/>
      <c r="EL112" s="493"/>
      <c r="EM112" s="493"/>
      <c r="EN112" s="493"/>
      <c r="EO112" s="493"/>
      <c r="EP112" s="493"/>
      <c r="EQ112" s="493"/>
      <c r="ER112" s="493"/>
      <c r="ES112" s="493"/>
      <c r="ET112" s="493"/>
      <c r="EU112" s="493"/>
      <c r="EV112" s="493"/>
      <c r="EW112" s="493"/>
      <c r="EX112" s="493"/>
      <c r="EY112" s="493"/>
      <c r="EZ112" s="493"/>
      <c r="FA112" s="493"/>
      <c r="FB112" s="493"/>
      <c r="FC112" s="493"/>
      <c r="FD112" s="493"/>
      <c r="FE112" s="493"/>
      <c r="FF112" s="493"/>
      <c r="FG112" s="493"/>
      <c r="FH112" s="493"/>
      <c r="FI112" s="493"/>
      <c r="FJ112" s="493"/>
      <c r="FK112" s="493"/>
      <c r="FL112" s="493"/>
      <c r="FM112" s="493"/>
      <c r="FN112" s="493"/>
      <c r="FO112" s="493"/>
      <c r="FP112" s="493"/>
      <c r="FQ112" s="493"/>
      <c r="FR112" s="493"/>
      <c r="FS112" s="493"/>
      <c r="FT112" s="493"/>
      <c r="FU112" s="493"/>
      <c r="FV112" s="493"/>
      <c r="FW112" s="493"/>
      <c r="FX112" s="493"/>
      <c r="FY112" s="493"/>
      <c r="FZ112" s="493"/>
      <c r="GA112" s="493"/>
      <c r="GB112" s="493"/>
      <c r="GC112" s="493"/>
      <c r="GD112" s="493"/>
    </row>
    <row r="113" spans="1:186" ht="15" customHeight="1">
      <c r="A113" s="598" t="s">
        <v>108</v>
      </c>
      <c r="B113" s="599"/>
      <c r="C113" s="600"/>
      <c r="D113" s="76"/>
      <c r="F113" s="76"/>
      <c r="I113" s="76"/>
      <c r="J113" s="76"/>
      <c r="L113" s="76"/>
      <c r="O113" s="492"/>
      <c r="P113" s="516">
        <f>P112</f>
        <v>6500</v>
      </c>
      <c r="Q113" s="517">
        <f>R113*P113*PI()/30000</f>
        <v>149.59007579333158</v>
      </c>
      <c r="R113" s="517">
        <f>R112*(P112/P113)^2</f>
        <v>219.76615384615386</v>
      </c>
      <c r="S113" s="516">
        <f>S112</f>
        <v>6500</v>
      </c>
      <c r="T113" s="517">
        <f>U113*S113*PI()/30000</f>
        <v>221.98963554232211</v>
      </c>
      <c r="U113" s="517">
        <f>U112</f>
        <v>326.12997980057412</v>
      </c>
      <c r="V113" s="516">
        <f t="shared" si="32"/>
        <v>6500</v>
      </c>
      <c r="W113" s="516">
        <f t="shared" si="26"/>
        <v>264.33115449325362</v>
      </c>
      <c r="X113" s="517">
        <f t="shared" si="33"/>
        <v>388.33486016112715</v>
      </c>
      <c r="Y113" s="492"/>
      <c r="Z113" s="492"/>
      <c r="AA113" s="537"/>
      <c r="AB113" s="537"/>
      <c r="AC113" s="537"/>
      <c r="AD113" s="537"/>
      <c r="AE113" s="492"/>
      <c r="AF113" s="492"/>
      <c r="AG113" s="492"/>
      <c r="AH113" s="493"/>
      <c r="AI113" s="493"/>
      <c r="AJ113" s="493"/>
      <c r="AK113" s="493"/>
      <c r="AL113" s="493"/>
      <c r="AM113" s="493"/>
      <c r="AN113" s="493"/>
      <c r="AO113" s="493"/>
      <c r="AP113" s="493"/>
      <c r="AQ113" s="493"/>
      <c r="AR113" s="493"/>
      <c r="AS113" s="493"/>
      <c r="AT113" s="493"/>
      <c r="AU113" s="493"/>
      <c r="AV113" s="493"/>
      <c r="AW113" s="493"/>
      <c r="AX113" s="493"/>
      <c r="AY113" s="493"/>
      <c r="AZ113" s="493"/>
      <c r="BA113" s="493"/>
      <c r="BB113" s="493"/>
      <c r="BC113" s="493"/>
      <c r="BD113" s="493"/>
      <c r="BE113" s="493"/>
      <c r="BF113" s="493"/>
      <c r="BG113" s="493"/>
      <c r="BH113" s="493"/>
      <c r="BI113" s="493"/>
      <c r="BJ113" s="493"/>
      <c r="BK113" s="493"/>
      <c r="BL113" s="493"/>
      <c r="BM113" s="493"/>
      <c r="BN113" s="493"/>
      <c r="BO113" s="493"/>
      <c r="BP113" s="493"/>
      <c r="BQ113" s="493"/>
      <c r="BR113" s="493"/>
      <c r="BS113" s="493"/>
      <c r="BT113" s="493"/>
      <c r="BU113" s="493"/>
      <c r="BV113" s="493"/>
      <c r="BW113" s="493"/>
      <c r="BX113" s="493"/>
      <c r="BY113" s="493"/>
      <c r="BZ113" s="493"/>
      <c r="CA113" s="493"/>
      <c r="CB113" s="493"/>
      <c r="CC113" s="493"/>
      <c r="CD113" s="493"/>
      <c r="CE113" s="493"/>
      <c r="CF113" s="493"/>
      <c r="CG113" s="493"/>
      <c r="CH113" s="493"/>
      <c r="CI113" s="493"/>
      <c r="CJ113" s="493"/>
      <c r="CK113" s="493"/>
      <c r="CL113" s="493"/>
      <c r="CM113" s="493"/>
      <c r="CN113" s="493"/>
      <c r="CO113" s="493"/>
      <c r="CP113" s="493"/>
      <c r="CQ113" s="493"/>
      <c r="CR113" s="493"/>
      <c r="CS113" s="493"/>
      <c r="CT113" s="493"/>
      <c r="CU113" s="493"/>
      <c r="CV113" s="493"/>
      <c r="CW113" s="493"/>
      <c r="CX113" s="493"/>
      <c r="CY113" s="493"/>
      <c r="CZ113" s="493"/>
      <c r="DA113" s="493"/>
      <c r="DB113" s="493"/>
      <c r="DC113" s="493"/>
      <c r="DD113" s="493"/>
      <c r="DE113" s="493"/>
      <c r="DF113" s="493"/>
      <c r="DG113" s="493"/>
      <c r="DH113" s="493"/>
      <c r="DI113" s="493"/>
      <c r="DJ113" s="493"/>
      <c r="DK113" s="493"/>
      <c r="DL113" s="493"/>
      <c r="DM113" s="493"/>
      <c r="DN113" s="493"/>
      <c r="DO113" s="493"/>
      <c r="DP113" s="493"/>
      <c r="DQ113" s="493"/>
      <c r="DR113" s="493"/>
      <c r="DS113" s="493"/>
      <c r="DT113" s="493"/>
      <c r="DU113" s="493"/>
      <c r="DV113" s="493"/>
      <c r="DW113" s="493"/>
      <c r="DX113" s="493"/>
      <c r="DY113" s="493"/>
      <c r="DZ113" s="493"/>
      <c r="EA113" s="493"/>
      <c r="EB113" s="493"/>
      <c r="EC113" s="493"/>
      <c r="ED113" s="493"/>
      <c r="EE113" s="493"/>
      <c r="EF113" s="493"/>
      <c r="EG113" s="493"/>
      <c r="EH113" s="493"/>
      <c r="EI113" s="493"/>
      <c r="EJ113" s="493"/>
      <c r="EK113" s="493"/>
      <c r="EL113" s="493"/>
      <c r="EM113" s="493"/>
      <c r="EN113" s="493"/>
      <c r="EO113" s="493"/>
      <c r="EP113" s="493"/>
      <c r="EQ113" s="493"/>
      <c r="ER113" s="493"/>
      <c r="ES113" s="493"/>
      <c r="ET113" s="493"/>
      <c r="EU113" s="493"/>
      <c r="EV113" s="493"/>
      <c r="EW113" s="493"/>
      <c r="EX113" s="493"/>
      <c r="EY113" s="493"/>
      <c r="EZ113" s="493"/>
      <c r="FA113" s="493"/>
      <c r="FB113" s="493"/>
      <c r="FC113" s="493"/>
      <c r="FD113" s="493"/>
      <c r="FE113" s="493"/>
      <c r="FF113" s="493"/>
      <c r="FG113" s="493"/>
      <c r="FH113" s="493"/>
      <c r="FI113" s="493"/>
      <c r="FJ113" s="493"/>
      <c r="FK113" s="493"/>
      <c r="FL113" s="493"/>
      <c r="FM113" s="493"/>
      <c r="FN113" s="493"/>
      <c r="FO113" s="493"/>
      <c r="FP113" s="493"/>
      <c r="FQ113" s="493"/>
      <c r="FR113" s="493"/>
      <c r="FS113" s="493"/>
      <c r="FT113" s="493"/>
      <c r="FU113" s="493"/>
      <c r="FV113" s="493"/>
      <c r="FW113" s="493"/>
      <c r="FX113" s="493"/>
      <c r="FY113" s="493"/>
      <c r="FZ113" s="493"/>
      <c r="GA113" s="493"/>
      <c r="GB113" s="493"/>
      <c r="GC113" s="493"/>
      <c r="GD113" s="493"/>
    </row>
    <row r="114" spans="1:186" ht="15" customHeight="1" thickBot="1">
      <c r="A114" s="598"/>
      <c r="B114" s="599"/>
      <c r="C114" s="600"/>
      <c r="D114" s="76"/>
      <c r="F114" s="76"/>
      <c r="I114" s="76"/>
      <c r="J114" s="76"/>
      <c r="L114" s="76"/>
      <c r="O114" s="492"/>
      <c r="P114" s="516">
        <f t="shared" ref="P114:P131" si="35">IF(P113*1.1&gt;MIN($L$13,$D$112),MIN($L$13,$D$112),P113*1.1)</f>
        <v>6500</v>
      </c>
      <c r="Q114" s="517">
        <f>R114*P114*PI()/30000</f>
        <v>149.59007579333158</v>
      </c>
      <c r="R114" s="517">
        <f t="shared" ref="R114:R130" si="36">R113*(P113/P114)^(1+$AD$87)</f>
        <v>219.76615384615386</v>
      </c>
      <c r="S114" s="516">
        <f t="shared" ref="S114:S131" si="37">IF(S113*1.1&gt;MIN($L$13,$D$112),MIN($L$13,$D$112),S113*1.1)</f>
        <v>6500</v>
      </c>
      <c r="T114" s="517">
        <f t="shared" ref="T114:T131" si="38">U114*S114*PI()/30000</f>
        <v>221.98963554232211</v>
      </c>
      <c r="U114" s="517">
        <f t="shared" ref="U114:U130" si="39">U113*(S113/S114)^(1+$AD$87)</f>
        <v>326.12997980057412</v>
      </c>
      <c r="V114" s="516">
        <f t="shared" si="32"/>
        <v>6500</v>
      </c>
      <c r="W114" s="516">
        <f t="shared" si="26"/>
        <v>264.33115449325362</v>
      </c>
      <c r="X114" s="517">
        <f t="shared" si="33"/>
        <v>388.33486016112715</v>
      </c>
      <c r="Y114" s="492"/>
      <c r="Z114" s="492"/>
      <c r="AA114" s="537"/>
      <c r="AB114" s="537"/>
      <c r="AC114" s="537"/>
      <c r="AD114" s="537"/>
      <c r="AE114" s="492"/>
      <c r="AF114" s="492"/>
      <c r="AG114" s="492"/>
      <c r="AH114" s="493"/>
      <c r="AI114" s="493"/>
      <c r="AJ114" s="493"/>
      <c r="AK114" s="493"/>
      <c r="AL114" s="493"/>
      <c r="AM114" s="493"/>
      <c r="AN114" s="493"/>
      <c r="AO114" s="493"/>
      <c r="AP114" s="493"/>
      <c r="AQ114" s="493"/>
      <c r="AR114" s="493"/>
      <c r="AS114" s="493"/>
      <c r="AT114" s="493"/>
      <c r="AU114" s="493"/>
      <c r="AV114" s="493"/>
      <c r="AW114" s="493"/>
      <c r="AX114" s="493"/>
      <c r="AY114" s="493"/>
      <c r="AZ114" s="493"/>
      <c r="BA114" s="493"/>
      <c r="BB114" s="493"/>
      <c r="BC114" s="493"/>
      <c r="BD114" s="493"/>
      <c r="BE114" s="493"/>
      <c r="BF114" s="493"/>
      <c r="BG114" s="493"/>
      <c r="BH114" s="493"/>
      <c r="BI114" s="493"/>
      <c r="BJ114" s="493"/>
      <c r="BK114" s="493"/>
      <c r="BL114" s="493"/>
      <c r="BM114" s="493"/>
      <c r="BN114" s="493"/>
      <c r="BO114" s="493"/>
      <c r="BP114" s="493"/>
      <c r="BQ114" s="493"/>
      <c r="BR114" s="493"/>
      <c r="BS114" s="493"/>
      <c r="BT114" s="493"/>
      <c r="BU114" s="493"/>
      <c r="BV114" s="493"/>
      <c r="BW114" s="493"/>
      <c r="BX114" s="493"/>
      <c r="BY114" s="493"/>
      <c r="BZ114" s="493"/>
      <c r="CA114" s="493"/>
      <c r="CB114" s="493"/>
      <c r="CC114" s="493"/>
      <c r="CD114" s="493"/>
      <c r="CE114" s="493"/>
      <c r="CF114" s="493"/>
      <c r="CG114" s="493"/>
      <c r="CH114" s="493"/>
      <c r="CI114" s="493"/>
      <c r="CJ114" s="493"/>
      <c r="CK114" s="493"/>
      <c r="CL114" s="493"/>
      <c r="CM114" s="493"/>
      <c r="CN114" s="493"/>
      <c r="CO114" s="493"/>
      <c r="CP114" s="493"/>
      <c r="CQ114" s="493"/>
      <c r="CR114" s="493"/>
      <c r="CS114" s="493"/>
      <c r="CT114" s="493"/>
      <c r="CU114" s="493"/>
      <c r="CV114" s="493"/>
      <c r="CW114" s="493"/>
      <c r="CX114" s="493"/>
      <c r="CY114" s="493"/>
      <c r="CZ114" s="493"/>
      <c r="DA114" s="493"/>
      <c r="DB114" s="493"/>
      <c r="DC114" s="493"/>
      <c r="DD114" s="493"/>
      <c r="DE114" s="493"/>
      <c r="DF114" s="493"/>
      <c r="DG114" s="493"/>
      <c r="DH114" s="493"/>
      <c r="DI114" s="493"/>
      <c r="DJ114" s="493"/>
      <c r="DK114" s="493"/>
      <c r="DL114" s="493"/>
      <c r="DM114" s="493"/>
      <c r="DN114" s="493"/>
      <c r="DO114" s="493"/>
      <c r="DP114" s="493"/>
      <c r="DQ114" s="493"/>
      <c r="DR114" s="493"/>
      <c r="DS114" s="493"/>
      <c r="DT114" s="493"/>
      <c r="DU114" s="493"/>
      <c r="DV114" s="493"/>
      <c r="DW114" s="493"/>
      <c r="DX114" s="493"/>
      <c r="DY114" s="493"/>
      <c r="DZ114" s="493"/>
      <c r="EA114" s="493"/>
      <c r="EB114" s="493"/>
      <c r="EC114" s="493"/>
      <c r="ED114" s="493"/>
      <c r="EE114" s="493"/>
      <c r="EF114" s="493"/>
      <c r="EG114" s="493"/>
      <c r="EH114" s="493"/>
      <c r="EI114" s="493"/>
      <c r="EJ114" s="493"/>
      <c r="EK114" s="493"/>
      <c r="EL114" s="493"/>
      <c r="EM114" s="493"/>
      <c r="EN114" s="493"/>
      <c r="EO114" s="493"/>
      <c r="EP114" s="493"/>
      <c r="EQ114" s="493"/>
      <c r="ER114" s="493"/>
      <c r="ES114" s="493"/>
      <c r="ET114" s="493"/>
      <c r="EU114" s="493"/>
      <c r="EV114" s="493"/>
      <c r="EW114" s="493"/>
      <c r="EX114" s="493"/>
      <c r="EY114" s="493"/>
      <c r="EZ114" s="493"/>
      <c r="FA114" s="493"/>
      <c r="FB114" s="493"/>
      <c r="FC114" s="493"/>
      <c r="FD114" s="493"/>
      <c r="FE114" s="493"/>
      <c r="FF114" s="493"/>
      <c r="FG114" s="493"/>
      <c r="FH114" s="493"/>
      <c r="FI114" s="493"/>
      <c r="FJ114" s="493"/>
      <c r="FK114" s="493"/>
      <c r="FL114" s="493"/>
      <c r="FM114" s="493"/>
      <c r="FN114" s="493"/>
      <c r="FO114" s="493"/>
      <c r="FP114" s="493"/>
      <c r="FQ114" s="493"/>
      <c r="FR114" s="493"/>
      <c r="FS114" s="493"/>
      <c r="FT114" s="493"/>
      <c r="FU114" s="493"/>
      <c r="FV114" s="493"/>
      <c r="FW114" s="493"/>
      <c r="FX114" s="493"/>
      <c r="FY114" s="493"/>
      <c r="FZ114" s="493"/>
      <c r="GA114" s="493"/>
      <c r="GB114" s="493"/>
      <c r="GC114" s="493"/>
      <c r="GD114" s="493"/>
    </row>
    <row r="115" spans="1:186" ht="15" customHeight="1" thickBot="1">
      <c r="A115" s="359" t="s">
        <v>82</v>
      </c>
      <c r="B115" s="359" t="s">
        <v>118</v>
      </c>
      <c r="C115" s="359" t="s">
        <v>119</v>
      </c>
      <c r="D115" s="76"/>
      <c r="F115" s="76"/>
      <c r="I115" s="76"/>
      <c r="J115" s="76"/>
      <c r="L115" s="76"/>
      <c r="O115" s="492"/>
      <c r="P115" s="516">
        <f t="shared" si="35"/>
        <v>6500</v>
      </c>
      <c r="Q115" s="517">
        <f t="shared" ref="Q115:Q131" si="40">R115*P115*PI()/30000</f>
        <v>149.59007579333158</v>
      </c>
      <c r="R115" s="517">
        <f t="shared" si="36"/>
        <v>219.76615384615386</v>
      </c>
      <c r="S115" s="516">
        <f t="shared" si="37"/>
        <v>6500</v>
      </c>
      <c r="T115" s="517">
        <f t="shared" si="38"/>
        <v>221.98963554232211</v>
      </c>
      <c r="U115" s="517">
        <f t="shared" si="39"/>
        <v>326.12997980057412</v>
      </c>
      <c r="V115" s="516">
        <f t="shared" si="32"/>
        <v>6500</v>
      </c>
      <c r="W115" s="516">
        <f t="shared" si="26"/>
        <v>264.33115449325362</v>
      </c>
      <c r="X115" s="517">
        <f t="shared" si="33"/>
        <v>388.33486016112715</v>
      </c>
      <c r="Y115" s="492"/>
      <c r="Z115" s="492"/>
      <c r="AA115" s="537"/>
      <c r="AB115" s="537"/>
      <c r="AC115" s="537"/>
      <c r="AD115" s="537"/>
      <c r="AE115" s="492"/>
      <c r="AF115" s="492"/>
      <c r="AG115" s="492"/>
      <c r="AH115" s="493"/>
      <c r="AI115" s="493"/>
      <c r="AJ115" s="493"/>
      <c r="AK115" s="493"/>
      <c r="AL115" s="493"/>
      <c r="AM115" s="493"/>
      <c r="AN115" s="493"/>
      <c r="AO115" s="493"/>
      <c r="AP115" s="493"/>
      <c r="AQ115" s="493"/>
      <c r="AR115" s="493"/>
      <c r="AS115" s="493"/>
      <c r="AT115" s="493"/>
      <c r="AU115" s="493"/>
      <c r="AV115" s="493"/>
      <c r="AW115" s="493"/>
      <c r="AX115" s="493"/>
      <c r="AY115" s="493"/>
      <c r="AZ115" s="493"/>
      <c r="BA115" s="493"/>
      <c r="BB115" s="493"/>
      <c r="BC115" s="493"/>
      <c r="BD115" s="493"/>
      <c r="BE115" s="493"/>
      <c r="BF115" s="493"/>
      <c r="BG115" s="493"/>
      <c r="BH115" s="493"/>
      <c r="BI115" s="493"/>
      <c r="BJ115" s="493"/>
      <c r="BK115" s="493"/>
      <c r="BL115" s="493"/>
      <c r="BM115" s="493"/>
      <c r="BN115" s="493"/>
      <c r="BO115" s="493"/>
      <c r="BP115" s="493"/>
      <c r="BQ115" s="493"/>
      <c r="BR115" s="493"/>
      <c r="BS115" s="493"/>
      <c r="BT115" s="493"/>
      <c r="BU115" s="493"/>
      <c r="BV115" s="493"/>
      <c r="BW115" s="493"/>
      <c r="BX115" s="493"/>
      <c r="BY115" s="493"/>
      <c r="BZ115" s="493"/>
      <c r="CA115" s="493"/>
      <c r="CB115" s="493"/>
      <c r="CC115" s="493"/>
      <c r="CD115" s="493"/>
      <c r="CE115" s="493"/>
      <c r="CF115" s="493"/>
      <c r="CG115" s="493"/>
      <c r="CH115" s="493"/>
      <c r="CI115" s="493"/>
      <c r="CJ115" s="493"/>
      <c r="CK115" s="493"/>
      <c r="CL115" s="493"/>
      <c r="CM115" s="493"/>
      <c r="CN115" s="493"/>
      <c r="CO115" s="493"/>
      <c r="CP115" s="493"/>
      <c r="CQ115" s="493"/>
      <c r="CR115" s="493"/>
      <c r="CS115" s="493"/>
      <c r="CT115" s="493"/>
      <c r="CU115" s="493"/>
      <c r="CV115" s="493"/>
      <c r="CW115" s="493"/>
      <c r="CX115" s="493"/>
      <c r="CY115" s="493"/>
      <c r="CZ115" s="493"/>
      <c r="DA115" s="493"/>
      <c r="DB115" s="493"/>
      <c r="DC115" s="493"/>
      <c r="DD115" s="493"/>
      <c r="DE115" s="493"/>
      <c r="DF115" s="493"/>
      <c r="DG115" s="493"/>
      <c r="DH115" s="493"/>
      <c r="DI115" s="493"/>
      <c r="DJ115" s="493"/>
      <c r="DK115" s="493"/>
      <c r="DL115" s="493"/>
      <c r="DM115" s="493"/>
      <c r="DN115" s="493"/>
      <c r="DO115" s="493"/>
      <c r="DP115" s="493"/>
      <c r="DQ115" s="493"/>
      <c r="DR115" s="493"/>
      <c r="DS115" s="493"/>
      <c r="DT115" s="493"/>
      <c r="DU115" s="493"/>
      <c r="DV115" s="493"/>
      <c r="DW115" s="493"/>
      <c r="DX115" s="493"/>
      <c r="DY115" s="493"/>
      <c r="DZ115" s="493"/>
      <c r="EA115" s="493"/>
      <c r="EB115" s="493"/>
      <c r="EC115" s="493"/>
      <c r="ED115" s="493"/>
      <c r="EE115" s="493"/>
      <c r="EF115" s="493"/>
      <c r="EG115" s="493"/>
      <c r="EH115" s="493"/>
      <c r="EI115" s="493"/>
      <c r="EJ115" s="493"/>
      <c r="EK115" s="493"/>
      <c r="EL115" s="493"/>
      <c r="EM115" s="493"/>
      <c r="EN115" s="493"/>
      <c r="EO115" s="493"/>
      <c r="EP115" s="493"/>
      <c r="EQ115" s="493"/>
      <c r="ER115" s="493"/>
      <c r="ES115" s="493"/>
      <c r="ET115" s="493"/>
      <c r="EU115" s="493"/>
      <c r="EV115" s="493"/>
      <c r="EW115" s="493"/>
      <c r="EX115" s="493"/>
      <c r="EY115" s="493"/>
      <c r="EZ115" s="493"/>
      <c r="FA115" s="493"/>
      <c r="FB115" s="493"/>
      <c r="FC115" s="493"/>
      <c r="FD115" s="493"/>
      <c r="FE115" s="493"/>
      <c r="FF115" s="493"/>
      <c r="FG115" s="493"/>
      <c r="FH115" s="493"/>
      <c r="FI115" s="493"/>
      <c r="FJ115" s="493"/>
      <c r="FK115" s="493"/>
      <c r="FL115" s="493"/>
      <c r="FM115" s="493"/>
      <c r="FN115" s="493"/>
      <c r="FO115" s="493"/>
      <c r="FP115" s="493"/>
      <c r="FQ115" s="493"/>
      <c r="FR115" s="493"/>
      <c r="FS115" s="493"/>
      <c r="FT115" s="493"/>
      <c r="FU115" s="493"/>
      <c r="FV115" s="493"/>
      <c r="FW115" s="493"/>
      <c r="FX115" s="493"/>
      <c r="FY115" s="493"/>
      <c r="FZ115" s="493"/>
      <c r="GA115" s="493"/>
      <c r="GB115" s="493"/>
      <c r="GC115" s="493"/>
      <c r="GD115" s="493"/>
    </row>
    <row r="116" spans="1:186" ht="15" customHeight="1">
      <c r="A116" s="360"/>
      <c r="B116" s="369"/>
      <c r="C116" s="370"/>
      <c r="D116" s="76"/>
      <c r="F116" s="76"/>
      <c r="I116" s="76"/>
      <c r="J116" s="76"/>
      <c r="L116" s="76"/>
      <c r="O116" s="492"/>
      <c r="P116" s="516">
        <f t="shared" si="35"/>
        <v>6500</v>
      </c>
      <c r="Q116" s="517">
        <f t="shared" si="40"/>
        <v>149.59007579333158</v>
      </c>
      <c r="R116" s="517">
        <f t="shared" si="36"/>
        <v>219.76615384615386</v>
      </c>
      <c r="S116" s="516">
        <f t="shared" si="37"/>
        <v>6500</v>
      </c>
      <c r="T116" s="517">
        <f t="shared" si="38"/>
        <v>221.98963554232211</v>
      </c>
      <c r="U116" s="517">
        <f t="shared" si="39"/>
        <v>326.12997980057412</v>
      </c>
      <c r="V116" s="516">
        <f t="shared" si="32"/>
        <v>6500</v>
      </c>
      <c r="W116" s="516">
        <f t="shared" si="26"/>
        <v>264.33115449325362</v>
      </c>
      <c r="X116" s="517">
        <f t="shared" si="33"/>
        <v>388.33486016112715</v>
      </c>
      <c r="Y116" s="492"/>
      <c r="Z116" s="492"/>
      <c r="AA116" s="537"/>
      <c r="AB116" s="537"/>
      <c r="AC116" s="537"/>
      <c r="AD116" s="537"/>
      <c r="AE116" s="492"/>
      <c r="AF116" s="492"/>
      <c r="AG116" s="492"/>
      <c r="AH116" s="493"/>
      <c r="AI116" s="493"/>
      <c r="AJ116" s="493"/>
      <c r="AK116" s="493"/>
      <c r="AL116" s="493"/>
      <c r="AM116" s="493"/>
      <c r="AN116" s="493"/>
      <c r="AO116" s="493"/>
      <c r="AP116" s="493"/>
      <c r="AQ116" s="493"/>
      <c r="AR116" s="493"/>
      <c r="AS116" s="493"/>
      <c r="AT116" s="493"/>
      <c r="AU116" s="493"/>
      <c r="AV116" s="493"/>
      <c r="AW116" s="493"/>
      <c r="AX116" s="493"/>
      <c r="AY116" s="493"/>
      <c r="AZ116" s="493"/>
      <c r="BA116" s="493"/>
      <c r="BB116" s="493"/>
      <c r="BC116" s="493"/>
      <c r="BD116" s="493"/>
      <c r="BE116" s="493"/>
      <c r="BF116" s="493"/>
      <c r="BG116" s="493"/>
      <c r="BH116" s="493"/>
      <c r="BI116" s="493"/>
      <c r="BJ116" s="493"/>
      <c r="BK116" s="493"/>
      <c r="BL116" s="493"/>
      <c r="BM116" s="493"/>
      <c r="BN116" s="493"/>
      <c r="BO116" s="493"/>
      <c r="BP116" s="493"/>
      <c r="BQ116" s="493"/>
      <c r="BR116" s="493"/>
      <c r="BS116" s="493"/>
      <c r="BT116" s="493"/>
      <c r="BU116" s="493"/>
      <c r="BV116" s="493"/>
      <c r="BW116" s="493"/>
      <c r="BX116" s="493"/>
      <c r="BY116" s="493"/>
      <c r="BZ116" s="493"/>
      <c r="CA116" s="493"/>
      <c r="CB116" s="493"/>
      <c r="CC116" s="493"/>
      <c r="CD116" s="493"/>
      <c r="CE116" s="493"/>
      <c r="CF116" s="493"/>
      <c r="CG116" s="493"/>
      <c r="CH116" s="493"/>
      <c r="CI116" s="493"/>
      <c r="CJ116" s="493"/>
      <c r="CK116" s="493"/>
      <c r="CL116" s="493"/>
      <c r="CM116" s="493"/>
      <c r="CN116" s="493"/>
      <c r="CO116" s="493"/>
      <c r="CP116" s="493"/>
      <c r="CQ116" s="493"/>
      <c r="CR116" s="493"/>
      <c r="CS116" s="493"/>
      <c r="CT116" s="493"/>
      <c r="CU116" s="493"/>
      <c r="CV116" s="493"/>
      <c r="CW116" s="493"/>
      <c r="CX116" s="493"/>
      <c r="CY116" s="493"/>
      <c r="CZ116" s="493"/>
      <c r="DA116" s="493"/>
      <c r="DB116" s="493"/>
      <c r="DC116" s="493"/>
      <c r="DD116" s="493"/>
      <c r="DE116" s="493"/>
      <c r="DF116" s="493"/>
      <c r="DG116" s="493"/>
      <c r="DH116" s="493"/>
      <c r="DI116" s="493"/>
      <c r="DJ116" s="493"/>
      <c r="DK116" s="493"/>
      <c r="DL116" s="493"/>
      <c r="DM116" s="493"/>
      <c r="DN116" s="493"/>
      <c r="DO116" s="493"/>
      <c r="DP116" s="493"/>
      <c r="DQ116" s="493"/>
      <c r="DR116" s="493"/>
      <c r="DS116" s="493"/>
      <c r="DT116" s="493"/>
      <c r="DU116" s="493"/>
      <c r="DV116" s="493"/>
      <c r="DW116" s="493"/>
      <c r="DX116" s="493"/>
      <c r="DY116" s="493"/>
      <c r="DZ116" s="493"/>
      <c r="EA116" s="493"/>
      <c r="EB116" s="493"/>
      <c r="EC116" s="493"/>
      <c r="ED116" s="493"/>
      <c r="EE116" s="493"/>
      <c r="EF116" s="493"/>
      <c r="EG116" s="493"/>
      <c r="EH116" s="493"/>
      <c r="EI116" s="493"/>
      <c r="EJ116" s="493"/>
      <c r="EK116" s="493"/>
      <c r="EL116" s="493"/>
      <c r="EM116" s="493"/>
      <c r="EN116" s="493"/>
      <c r="EO116" s="493"/>
      <c r="EP116" s="493"/>
      <c r="EQ116" s="493"/>
      <c r="ER116" s="493"/>
      <c r="ES116" s="493"/>
      <c r="ET116" s="493"/>
      <c r="EU116" s="493"/>
      <c r="EV116" s="493"/>
      <c r="EW116" s="493"/>
      <c r="EX116" s="493"/>
      <c r="EY116" s="493"/>
      <c r="EZ116" s="493"/>
      <c r="FA116" s="493"/>
      <c r="FB116" s="493"/>
      <c r="FC116" s="493"/>
      <c r="FD116" s="493"/>
      <c r="FE116" s="493"/>
      <c r="FF116" s="493"/>
      <c r="FG116" s="493"/>
      <c r="FH116" s="493"/>
      <c r="FI116" s="493"/>
      <c r="FJ116" s="493"/>
      <c r="FK116" s="493"/>
      <c r="FL116" s="493"/>
      <c r="FM116" s="493"/>
      <c r="FN116" s="493"/>
      <c r="FO116" s="493"/>
      <c r="FP116" s="493"/>
      <c r="FQ116" s="493"/>
      <c r="FR116" s="493"/>
      <c r="FS116" s="493"/>
      <c r="FT116" s="493"/>
      <c r="FU116" s="493"/>
      <c r="FV116" s="493"/>
      <c r="FW116" s="493"/>
      <c r="FX116" s="493"/>
      <c r="FY116" s="493"/>
      <c r="FZ116" s="493"/>
      <c r="GA116" s="493"/>
      <c r="GB116" s="493"/>
      <c r="GC116" s="493"/>
      <c r="GD116" s="493"/>
    </row>
    <row r="117" spans="1:186" ht="15" customHeight="1">
      <c r="A117" s="363"/>
      <c r="B117" s="371"/>
      <c r="C117" s="372"/>
      <c r="D117" s="76"/>
      <c r="F117" s="76"/>
      <c r="I117" s="76"/>
      <c r="J117" s="76"/>
      <c r="L117" s="76"/>
      <c r="O117" s="492"/>
      <c r="P117" s="516">
        <f t="shared" si="35"/>
        <v>6500</v>
      </c>
      <c r="Q117" s="517">
        <f t="shared" si="40"/>
        <v>149.59007579333158</v>
      </c>
      <c r="R117" s="517">
        <f t="shared" si="36"/>
        <v>219.76615384615386</v>
      </c>
      <c r="S117" s="516">
        <f t="shared" si="37"/>
        <v>6500</v>
      </c>
      <c r="T117" s="517">
        <f t="shared" si="38"/>
        <v>221.98963554232211</v>
      </c>
      <c r="U117" s="517">
        <f t="shared" si="39"/>
        <v>326.12997980057412</v>
      </c>
      <c r="V117" s="516">
        <f t="shared" si="32"/>
        <v>6500</v>
      </c>
      <c r="W117" s="516">
        <f t="shared" si="26"/>
        <v>264.33115449325362</v>
      </c>
      <c r="X117" s="517">
        <f t="shared" si="33"/>
        <v>388.33486016112715</v>
      </c>
      <c r="Y117" s="492"/>
      <c r="Z117" s="492"/>
      <c r="AA117" s="537"/>
      <c r="AB117" s="537"/>
      <c r="AC117" s="537"/>
      <c r="AD117" s="537"/>
      <c r="AE117" s="492"/>
      <c r="AF117" s="492"/>
      <c r="AG117" s="492"/>
      <c r="AH117" s="493"/>
      <c r="AI117" s="493"/>
      <c r="AJ117" s="493"/>
      <c r="AK117" s="493"/>
      <c r="AL117" s="493"/>
      <c r="AM117" s="493"/>
      <c r="AN117" s="493"/>
      <c r="AO117" s="493"/>
      <c r="AP117" s="493"/>
      <c r="AQ117" s="493"/>
      <c r="AR117" s="493"/>
      <c r="AS117" s="493"/>
      <c r="AT117" s="493"/>
      <c r="AU117" s="493"/>
      <c r="AV117" s="493"/>
      <c r="AW117" s="493"/>
      <c r="AX117" s="493"/>
      <c r="AY117" s="493"/>
      <c r="AZ117" s="493"/>
      <c r="BA117" s="493"/>
      <c r="BB117" s="493"/>
      <c r="BC117" s="493"/>
      <c r="BD117" s="493"/>
      <c r="BE117" s="493"/>
      <c r="BF117" s="493"/>
      <c r="BG117" s="493"/>
      <c r="BH117" s="493"/>
      <c r="BI117" s="493"/>
      <c r="BJ117" s="493"/>
      <c r="BK117" s="493"/>
      <c r="BL117" s="493"/>
      <c r="BM117" s="493"/>
      <c r="BN117" s="493"/>
      <c r="BO117" s="493"/>
      <c r="BP117" s="493"/>
      <c r="BQ117" s="493"/>
      <c r="BR117" s="493"/>
      <c r="BS117" s="493"/>
      <c r="BT117" s="493"/>
      <c r="BU117" s="493"/>
      <c r="BV117" s="493"/>
      <c r="BW117" s="493"/>
      <c r="BX117" s="493"/>
      <c r="BY117" s="493"/>
      <c r="BZ117" s="493"/>
      <c r="CA117" s="493"/>
      <c r="CB117" s="493"/>
      <c r="CC117" s="493"/>
      <c r="CD117" s="493"/>
      <c r="CE117" s="493"/>
      <c r="CF117" s="493"/>
      <c r="CG117" s="493"/>
      <c r="CH117" s="493"/>
      <c r="CI117" s="493"/>
      <c r="CJ117" s="493"/>
      <c r="CK117" s="493"/>
      <c r="CL117" s="493"/>
      <c r="CM117" s="493"/>
      <c r="CN117" s="493"/>
      <c r="CO117" s="493"/>
      <c r="CP117" s="493"/>
      <c r="CQ117" s="493"/>
      <c r="CR117" s="493"/>
      <c r="CS117" s="493"/>
      <c r="CT117" s="493"/>
      <c r="CU117" s="493"/>
      <c r="CV117" s="493"/>
      <c r="CW117" s="493"/>
      <c r="CX117" s="493"/>
      <c r="CY117" s="493"/>
      <c r="CZ117" s="493"/>
      <c r="DA117" s="493"/>
      <c r="DB117" s="493"/>
      <c r="DC117" s="493"/>
      <c r="DD117" s="493"/>
      <c r="DE117" s="493"/>
      <c r="DF117" s="493"/>
      <c r="DG117" s="493"/>
      <c r="DH117" s="493"/>
      <c r="DI117" s="493"/>
      <c r="DJ117" s="493"/>
      <c r="DK117" s="493"/>
      <c r="DL117" s="493"/>
      <c r="DM117" s="493"/>
      <c r="DN117" s="493"/>
      <c r="DO117" s="493"/>
      <c r="DP117" s="493"/>
      <c r="DQ117" s="493"/>
      <c r="DR117" s="493"/>
      <c r="DS117" s="493"/>
      <c r="DT117" s="493"/>
      <c r="DU117" s="493"/>
      <c r="DV117" s="493"/>
      <c r="DW117" s="493"/>
      <c r="DX117" s="493"/>
      <c r="DY117" s="493"/>
      <c r="DZ117" s="493"/>
      <c r="EA117" s="493"/>
      <c r="EB117" s="493"/>
      <c r="EC117" s="493"/>
      <c r="ED117" s="493"/>
      <c r="EE117" s="493"/>
      <c r="EF117" s="493"/>
      <c r="EG117" s="493"/>
      <c r="EH117" s="493"/>
      <c r="EI117" s="493"/>
      <c r="EJ117" s="493"/>
      <c r="EK117" s="493"/>
      <c r="EL117" s="493"/>
      <c r="EM117" s="493"/>
      <c r="EN117" s="493"/>
      <c r="EO117" s="493"/>
      <c r="EP117" s="493"/>
      <c r="EQ117" s="493"/>
      <c r="ER117" s="493"/>
      <c r="ES117" s="493"/>
      <c r="ET117" s="493"/>
      <c r="EU117" s="493"/>
      <c r="EV117" s="493"/>
      <c r="EW117" s="493"/>
      <c r="EX117" s="493"/>
      <c r="EY117" s="493"/>
      <c r="EZ117" s="493"/>
      <c r="FA117" s="493"/>
      <c r="FB117" s="493"/>
      <c r="FC117" s="493"/>
      <c r="FD117" s="493"/>
      <c r="FE117" s="493"/>
      <c r="FF117" s="493"/>
      <c r="FG117" s="493"/>
      <c r="FH117" s="493"/>
      <c r="FI117" s="493"/>
      <c r="FJ117" s="493"/>
      <c r="FK117" s="493"/>
      <c r="FL117" s="493"/>
      <c r="FM117" s="493"/>
      <c r="FN117" s="493"/>
      <c r="FO117" s="493"/>
      <c r="FP117" s="493"/>
      <c r="FQ117" s="493"/>
      <c r="FR117" s="493"/>
      <c r="FS117" s="493"/>
      <c r="FT117" s="493"/>
      <c r="FU117" s="493"/>
      <c r="FV117" s="493"/>
      <c r="FW117" s="493"/>
      <c r="FX117" s="493"/>
      <c r="FY117" s="493"/>
      <c r="FZ117" s="493"/>
      <c r="GA117" s="493"/>
      <c r="GB117" s="493"/>
      <c r="GC117" s="493"/>
      <c r="GD117" s="493"/>
    </row>
    <row r="118" spans="1:186" ht="15" customHeight="1">
      <c r="A118" s="363"/>
      <c r="B118" s="371"/>
      <c r="C118" s="372"/>
      <c r="D118" s="76"/>
      <c r="F118" s="76"/>
      <c r="I118" s="76"/>
      <c r="J118" s="76"/>
      <c r="L118" s="76"/>
      <c r="O118" s="492"/>
      <c r="P118" s="516">
        <f t="shared" si="35"/>
        <v>6500</v>
      </c>
      <c r="Q118" s="517">
        <f t="shared" si="40"/>
        <v>149.59007579333158</v>
      </c>
      <c r="R118" s="517">
        <f t="shared" si="36"/>
        <v>219.76615384615386</v>
      </c>
      <c r="S118" s="516">
        <f t="shared" si="37"/>
        <v>6500</v>
      </c>
      <c r="T118" s="517">
        <f t="shared" si="38"/>
        <v>221.98963554232211</v>
      </c>
      <c r="U118" s="517">
        <f t="shared" si="39"/>
        <v>326.12997980057412</v>
      </c>
      <c r="V118" s="516">
        <f t="shared" si="32"/>
        <v>6500</v>
      </c>
      <c r="W118" s="516">
        <f t="shared" si="26"/>
        <v>264.33115449325362</v>
      </c>
      <c r="X118" s="517">
        <f t="shared" si="33"/>
        <v>388.33486016112715</v>
      </c>
      <c r="Y118" s="492"/>
      <c r="Z118" s="492"/>
      <c r="AA118" s="537"/>
      <c r="AB118" s="537"/>
      <c r="AC118" s="537"/>
      <c r="AD118" s="537"/>
      <c r="AE118" s="492"/>
      <c r="AF118" s="492"/>
      <c r="AG118" s="492"/>
      <c r="AH118" s="493"/>
      <c r="AI118" s="493"/>
      <c r="AJ118" s="493"/>
      <c r="AK118" s="493"/>
      <c r="AL118" s="493"/>
      <c r="AM118" s="493"/>
      <c r="AN118" s="493"/>
      <c r="AO118" s="493"/>
      <c r="AP118" s="493"/>
      <c r="AQ118" s="493"/>
      <c r="AR118" s="493"/>
      <c r="AS118" s="493"/>
      <c r="AT118" s="493"/>
      <c r="AU118" s="493"/>
      <c r="AV118" s="493"/>
      <c r="AW118" s="493"/>
      <c r="AX118" s="493"/>
      <c r="AY118" s="493"/>
      <c r="AZ118" s="493"/>
      <c r="BA118" s="493"/>
      <c r="BB118" s="493"/>
      <c r="BC118" s="493"/>
      <c r="BD118" s="493"/>
      <c r="BE118" s="493"/>
      <c r="BF118" s="493"/>
      <c r="BG118" s="493"/>
      <c r="BH118" s="493"/>
      <c r="BI118" s="493"/>
      <c r="BJ118" s="493"/>
      <c r="BK118" s="493"/>
      <c r="BL118" s="493"/>
      <c r="BM118" s="493"/>
      <c r="BN118" s="493"/>
      <c r="BO118" s="493"/>
      <c r="BP118" s="493"/>
      <c r="BQ118" s="493"/>
      <c r="BR118" s="493"/>
      <c r="BS118" s="493"/>
      <c r="BT118" s="493"/>
      <c r="BU118" s="493"/>
      <c r="BV118" s="493"/>
      <c r="BW118" s="493"/>
      <c r="BX118" s="493"/>
      <c r="BY118" s="493"/>
      <c r="BZ118" s="493"/>
      <c r="CA118" s="493"/>
      <c r="CB118" s="493"/>
      <c r="CC118" s="493"/>
      <c r="CD118" s="493"/>
      <c r="CE118" s="493"/>
      <c r="CF118" s="493"/>
      <c r="CG118" s="493"/>
      <c r="CH118" s="493"/>
      <c r="CI118" s="493"/>
      <c r="CJ118" s="493"/>
      <c r="CK118" s="493"/>
      <c r="CL118" s="493"/>
      <c r="CM118" s="493"/>
      <c r="CN118" s="493"/>
      <c r="CO118" s="493"/>
      <c r="CP118" s="493"/>
      <c r="CQ118" s="493"/>
      <c r="CR118" s="493"/>
      <c r="CS118" s="493"/>
      <c r="CT118" s="493"/>
      <c r="CU118" s="493"/>
      <c r="CV118" s="493"/>
      <c r="CW118" s="493"/>
      <c r="CX118" s="493"/>
      <c r="CY118" s="493"/>
      <c r="CZ118" s="493"/>
      <c r="DA118" s="493"/>
      <c r="DB118" s="493"/>
      <c r="DC118" s="493"/>
      <c r="DD118" s="493"/>
      <c r="DE118" s="493"/>
      <c r="DF118" s="493"/>
      <c r="DG118" s="493"/>
      <c r="DH118" s="493"/>
      <c r="DI118" s="493"/>
      <c r="DJ118" s="493"/>
      <c r="DK118" s="493"/>
      <c r="DL118" s="493"/>
      <c r="DM118" s="493"/>
      <c r="DN118" s="493"/>
      <c r="DO118" s="493"/>
      <c r="DP118" s="493"/>
      <c r="DQ118" s="493"/>
      <c r="DR118" s="493"/>
      <c r="DS118" s="493"/>
      <c r="DT118" s="493"/>
      <c r="DU118" s="493"/>
      <c r="DV118" s="493"/>
      <c r="DW118" s="493"/>
      <c r="DX118" s="493"/>
      <c r="DY118" s="493"/>
      <c r="DZ118" s="493"/>
      <c r="EA118" s="493"/>
      <c r="EB118" s="493"/>
      <c r="EC118" s="493"/>
      <c r="ED118" s="493"/>
      <c r="EE118" s="493"/>
      <c r="EF118" s="493"/>
      <c r="EG118" s="493"/>
      <c r="EH118" s="493"/>
      <c r="EI118" s="493"/>
      <c r="EJ118" s="493"/>
      <c r="EK118" s="493"/>
      <c r="EL118" s="493"/>
      <c r="EM118" s="493"/>
      <c r="EN118" s="493"/>
      <c r="EO118" s="493"/>
      <c r="EP118" s="493"/>
      <c r="EQ118" s="493"/>
      <c r="ER118" s="493"/>
      <c r="ES118" s="493"/>
      <c r="ET118" s="493"/>
      <c r="EU118" s="493"/>
      <c r="EV118" s="493"/>
      <c r="EW118" s="493"/>
      <c r="EX118" s="493"/>
      <c r="EY118" s="493"/>
      <c r="EZ118" s="493"/>
      <c r="FA118" s="493"/>
      <c r="FB118" s="493"/>
      <c r="FC118" s="493"/>
      <c r="FD118" s="493"/>
      <c r="FE118" s="493"/>
      <c r="FF118" s="493"/>
      <c r="FG118" s="493"/>
      <c r="FH118" s="493"/>
      <c r="FI118" s="493"/>
      <c r="FJ118" s="493"/>
      <c r="FK118" s="493"/>
      <c r="FL118" s="493"/>
      <c r="FM118" s="493"/>
      <c r="FN118" s="493"/>
      <c r="FO118" s="493"/>
      <c r="FP118" s="493"/>
      <c r="FQ118" s="493"/>
      <c r="FR118" s="493"/>
      <c r="FS118" s="493"/>
      <c r="FT118" s="493"/>
      <c r="FU118" s="493"/>
      <c r="FV118" s="493"/>
      <c r="FW118" s="493"/>
      <c r="FX118" s="493"/>
      <c r="FY118" s="493"/>
      <c r="FZ118" s="493"/>
      <c r="GA118" s="493"/>
      <c r="GB118" s="493"/>
      <c r="GC118" s="493"/>
      <c r="GD118" s="493"/>
    </row>
    <row r="119" spans="1:186" ht="15" customHeight="1">
      <c r="A119" s="363"/>
      <c r="B119" s="371"/>
      <c r="C119" s="372"/>
      <c r="D119" s="76"/>
      <c r="F119" s="76"/>
      <c r="I119" s="76"/>
      <c r="J119" s="76"/>
      <c r="L119" s="76"/>
      <c r="O119" s="492"/>
      <c r="P119" s="516">
        <f t="shared" si="35"/>
        <v>6500</v>
      </c>
      <c r="Q119" s="517">
        <f t="shared" si="40"/>
        <v>149.59007579333158</v>
      </c>
      <c r="R119" s="517">
        <f t="shared" si="36"/>
        <v>219.76615384615386</v>
      </c>
      <c r="S119" s="516">
        <f t="shared" si="37"/>
        <v>6500</v>
      </c>
      <c r="T119" s="517">
        <f t="shared" si="38"/>
        <v>221.98963554232211</v>
      </c>
      <c r="U119" s="517">
        <f t="shared" si="39"/>
        <v>326.12997980057412</v>
      </c>
      <c r="V119" s="516">
        <f t="shared" si="32"/>
        <v>6500</v>
      </c>
      <c r="W119" s="516">
        <f t="shared" si="26"/>
        <v>264.33115449325362</v>
      </c>
      <c r="X119" s="517">
        <f t="shared" si="33"/>
        <v>388.33486016112715</v>
      </c>
      <c r="Y119" s="492"/>
      <c r="Z119" s="492"/>
      <c r="AA119" s="537"/>
      <c r="AB119" s="537"/>
      <c r="AC119" s="537"/>
      <c r="AD119" s="537"/>
      <c r="AE119" s="492"/>
      <c r="AF119" s="492"/>
      <c r="AG119" s="492"/>
      <c r="AH119" s="493"/>
      <c r="AI119" s="493"/>
      <c r="AJ119" s="493"/>
      <c r="AK119" s="493"/>
      <c r="AL119" s="493"/>
      <c r="AM119" s="493"/>
      <c r="AN119" s="493"/>
      <c r="AO119" s="493"/>
      <c r="AP119" s="493"/>
      <c r="AQ119" s="493"/>
      <c r="AR119" s="493"/>
      <c r="AS119" s="493"/>
      <c r="AT119" s="493"/>
      <c r="AU119" s="493"/>
      <c r="AV119" s="493"/>
      <c r="AW119" s="493"/>
      <c r="AX119" s="493"/>
      <c r="AY119" s="493"/>
      <c r="AZ119" s="493"/>
      <c r="BA119" s="493"/>
      <c r="BB119" s="493"/>
      <c r="BC119" s="493"/>
      <c r="BD119" s="493"/>
      <c r="BE119" s="493"/>
      <c r="BF119" s="493"/>
      <c r="BG119" s="493"/>
      <c r="BH119" s="493"/>
      <c r="BI119" s="493"/>
      <c r="BJ119" s="493"/>
      <c r="BK119" s="493"/>
      <c r="BL119" s="493"/>
      <c r="BM119" s="493"/>
      <c r="BN119" s="493"/>
      <c r="BO119" s="493"/>
      <c r="BP119" s="493"/>
      <c r="BQ119" s="493"/>
      <c r="BR119" s="493"/>
      <c r="BS119" s="493"/>
      <c r="BT119" s="493"/>
      <c r="BU119" s="493"/>
      <c r="BV119" s="493"/>
      <c r="BW119" s="493"/>
      <c r="BX119" s="493"/>
      <c r="BY119" s="493"/>
      <c r="BZ119" s="493"/>
      <c r="CA119" s="493"/>
      <c r="CB119" s="493"/>
      <c r="CC119" s="493"/>
      <c r="CD119" s="493"/>
      <c r="CE119" s="493"/>
      <c r="CF119" s="493"/>
      <c r="CG119" s="493"/>
      <c r="CH119" s="493"/>
      <c r="CI119" s="493"/>
      <c r="CJ119" s="493"/>
      <c r="CK119" s="493"/>
      <c r="CL119" s="493"/>
      <c r="CM119" s="493"/>
      <c r="CN119" s="493"/>
      <c r="CO119" s="493"/>
      <c r="CP119" s="493"/>
      <c r="CQ119" s="493"/>
      <c r="CR119" s="493"/>
      <c r="CS119" s="493"/>
      <c r="CT119" s="493"/>
      <c r="CU119" s="493"/>
      <c r="CV119" s="493"/>
      <c r="CW119" s="493"/>
      <c r="CX119" s="493"/>
      <c r="CY119" s="493"/>
      <c r="CZ119" s="493"/>
      <c r="DA119" s="493"/>
      <c r="DB119" s="493"/>
      <c r="DC119" s="493"/>
      <c r="DD119" s="493"/>
      <c r="DE119" s="493"/>
      <c r="DF119" s="493"/>
      <c r="DG119" s="493"/>
      <c r="DH119" s="493"/>
      <c r="DI119" s="493"/>
      <c r="DJ119" s="493"/>
      <c r="DK119" s="493"/>
      <c r="DL119" s="493"/>
      <c r="DM119" s="493"/>
      <c r="DN119" s="493"/>
      <c r="DO119" s="493"/>
      <c r="DP119" s="493"/>
      <c r="DQ119" s="493"/>
      <c r="DR119" s="493"/>
      <c r="DS119" s="493"/>
      <c r="DT119" s="493"/>
      <c r="DU119" s="493"/>
      <c r="DV119" s="493"/>
      <c r="DW119" s="493"/>
      <c r="DX119" s="493"/>
      <c r="DY119" s="493"/>
      <c r="DZ119" s="493"/>
      <c r="EA119" s="493"/>
      <c r="EB119" s="493"/>
      <c r="EC119" s="493"/>
      <c r="ED119" s="493"/>
      <c r="EE119" s="493"/>
      <c r="EF119" s="493"/>
      <c r="EG119" s="493"/>
      <c r="EH119" s="493"/>
      <c r="EI119" s="493"/>
      <c r="EJ119" s="493"/>
      <c r="EK119" s="493"/>
      <c r="EL119" s="493"/>
      <c r="EM119" s="493"/>
      <c r="EN119" s="493"/>
      <c r="EO119" s="493"/>
      <c r="EP119" s="493"/>
      <c r="EQ119" s="493"/>
      <c r="ER119" s="493"/>
      <c r="ES119" s="493"/>
      <c r="ET119" s="493"/>
      <c r="EU119" s="493"/>
      <c r="EV119" s="493"/>
      <c r="EW119" s="493"/>
      <c r="EX119" s="493"/>
      <c r="EY119" s="493"/>
      <c r="EZ119" s="493"/>
      <c r="FA119" s="493"/>
      <c r="FB119" s="493"/>
      <c r="FC119" s="493"/>
      <c r="FD119" s="493"/>
      <c r="FE119" s="493"/>
      <c r="FF119" s="493"/>
      <c r="FG119" s="493"/>
      <c r="FH119" s="493"/>
      <c r="FI119" s="493"/>
      <c r="FJ119" s="493"/>
      <c r="FK119" s="493"/>
      <c r="FL119" s="493"/>
      <c r="FM119" s="493"/>
      <c r="FN119" s="493"/>
      <c r="FO119" s="493"/>
      <c r="FP119" s="493"/>
      <c r="FQ119" s="493"/>
      <c r="FR119" s="493"/>
      <c r="FS119" s="493"/>
      <c r="FT119" s="493"/>
      <c r="FU119" s="493"/>
      <c r="FV119" s="493"/>
      <c r="FW119" s="493"/>
      <c r="FX119" s="493"/>
      <c r="FY119" s="493"/>
      <c r="FZ119" s="493"/>
      <c r="GA119" s="493"/>
      <c r="GB119" s="493"/>
      <c r="GC119" s="493"/>
      <c r="GD119" s="493"/>
    </row>
    <row r="120" spans="1:186" ht="15" customHeight="1">
      <c r="A120" s="363"/>
      <c r="B120" s="371"/>
      <c r="C120" s="372"/>
      <c r="D120" s="76"/>
      <c r="F120" s="76"/>
      <c r="I120" s="76"/>
      <c r="J120" s="76"/>
      <c r="L120" s="76"/>
      <c r="O120" s="492"/>
      <c r="P120" s="516">
        <f t="shared" si="35"/>
        <v>6500</v>
      </c>
      <c r="Q120" s="517">
        <f t="shared" si="40"/>
        <v>149.59007579333158</v>
      </c>
      <c r="R120" s="517">
        <f t="shared" si="36"/>
        <v>219.76615384615386</v>
      </c>
      <c r="S120" s="516">
        <f t="shared" si="37"/>
        <v>6500</v>
      </c>
      <c r="T120" s="517">
        <f t="shared" si="38"/>
        <v>221.98963554232211</v>
      </c>
      <c r="U120" s="517">
        <f t="shared" si="39"/>
        <v>326.12997980057412</v>
      </c>
      <c r="V120" s="516">
        <f t="shared" si="32"/>
        <v>6500</v>
      </c>
      <c r="W120" s="516">
        <f t="shared" si="26"/>
        <v>264.33115449325362</v>
      </c>
      <c r="X120" s="517">
        <f t="shared" si="33"/>
        <v>388.33486016112715</v>
      </c>
      <c r="Y120" s="492"/>
      <c r="Z120" s="492"/>
      <c r="AA120" s="537"/>
      <c r="AB120" s="537"/>
      <c r="AC120" s="537"/>
      <c r="AD120" s="537"/>
      <c r="AE120" s="492"/>
      <c r="AF120" s="492"/>
      <c r="AG120" s="492"/>
      <c r="AH120" s="493"/>
      <c r="AI120" s="493"/>
      <c r="AJ120" s="493"/>
      <c r="AK120" s="493"/>
      <c r="AL120" s="493"/>
      <c r="AM120" s="493"/>
      <c r="AN120" s="493"/>
      <c r="AO120" s="493"/>
      <c r="AP120" s="493"/>
      <c r="AQ120" s="493"/>
      <c r="AR120" s="493"/>
      <c r="AS120" s="493"/>
      <c r="AT120" s="493"/>
      <c r="AU120" s="493"/>
      <c r="AV120" s="493"/>
      <c r="AW120" s="493"/>
      <c r="AX120" s="493"/>
      <c r="AY120" s="493"/>
      <c r="AZ120" s="493"/>
      <c r="BA120" s="493"/>
      <c r="BB120" s="493"/>
      <c r="BC120" s="493"/>
      <c r="BD120" s="493"/>
      <c r="BE120" s="493"/>
      <c r="BF120" s="493"/>
      <c r="BG120" s="493"/>
      <c r="BH120" s="493"/>
      <c r="BI120" s="493"/>
      <c r="BJ120" s="493"/>
      <c r="BK120" s="493"/>
      <c r="BL120" s="493"/>
      <c r="BM120" s="493"/>
      <c r="BN120" s="493"/>
      <c r="BO120" s="493"/>
      <c r="BP120" s="493"/>
      <c r="BQ120" s="493"/>
      <c r="BR120" s="493"/>
      <c r="BS120" s="493"/>
      <c r="BT120" s="493"/>
      <c r="BU120" s="493"/>
      <c r="BV120" s="493"/>
      <c r="BW120" s="493"/>
      <c r="BX120" s="493"/>
      <c r="BY120" s="493"/>
      <c r="BZ120" s="493"/>
      <c r="CA120" s="493"/>
      <c r="CB120" s="493"/>
      <c r="CC120" s="493"/>
      <c r="CD120" s="493"/>
      <c r="CE120" s="493"/>
      <c r="CF120" s="493"/>
      <c r="CG120" s="493"/>
      <c r="CH120" s="493"/>
      <c r="CI120" s="493"/>
      <c r="CJ120" s="493"/>
      <c r="CK120" s="493"/>
      <c r="CL120" s="493"/>
      <c r="CM120" s="493"/>
      <c r="CN120" s="493"/>
      <c r="CO120" s="493"/>
      <c r="CP120" s="493"/>
      <c r="CQ120" s="493"/>
      <c r="CR120" s="493"/>
      <c r="CS120" s="493"/>
      <c r="CT120" s="493"/>
      <c r="CU120" s="493"/>
      <c r="CV120" s="493"/>
      <c r="CW120" s="493"/>
      <c r="CX120" s="493"/>
      <c r="CY120" s="493"/>
      <c r="CZ120" s="493"/>
      <c r="DA120" s="493"/>
      <c r="DB120" s="493"/>
      <c r="DC120" s="493"/>
      <c r="DD120" s="493"/>
      <c r="DE120" s="493"/>
      <c r="DF120" s="493"/>
      <c r="DG120" s="493"/>
      <c r="DH120" s="493"/>
      <c r="DI120" s="493"/>
      <c r="DJ120" s="493"/>
      <c r="DK120" s="493"/>
      <c r="DL120" s="493"/>
      <c r="DM120" s="493"/>
      <c r="DN120" s="493"/>
      <c r="DO120" s="493"/>
      <c r="DP120" s="493"/>
      <c r="DQ120" s="493"/>
      <c r="DR120" s="493"/>
      <c r="DS120" s="493"/>
      <c r="DT120" s="493"/>
      <c r="DU120" s="493"/>
      <c r="DV120" s="493"/>
      <c r="DW120" s="493"/>
      <c r="DX120" s="493"/>
      <c r="DY120" s="493"/>
      <c r="DZ120" s="493"/>
      <c r="EA120" s="493"/>
      <c r="EB120" s="493"/>
      <c r="EC120" s="493"/>
      <c r="ED120" s="493"/>
      <c r="EE120" s="493"/>
      <c r="EF120" s="493"/>
      <c r="EG120" s="493"/>
      <c r="EH120" s="493"/>
      <c r="EI120" s="493"/>
      <c r="EJ120" s="493"/>
      <c r="EK120" s="493"/>
      <c r="EL120" s="493"/>
      <c r="EM120" s="493"/>
      <c r="EN120" s="493"/>
      <c r="EO120" s="493"/>
      <c r="EP120" s="493"/>
      <c r="EQ120" s="493"/>
      <c r="ER120" s="493"/>
      <c r="ES120" s="493"/>
      <c r="ET120" s="493"/>
      <c r="EU120" s="493"/>
      <c r="EV120" s="493"/>
      <c r="EW120" s="493"/>
      <c r="EX120" s="493"/>
      <c r="EY120" s="493"/>
      <c r="EZ120" s="493"/>
      <c r="FA120" s="493"/>
      <c r="FB120" s="493"/>
      <c r="FC120" s="493"/>
      <c r="FD120" s="493"/>
      <c r="FE120" s="493"/>
      <c r="FF120" s="493"/>
      <c r="FG120" s="493"/>
      <c r="FH120" s="493"/>
      <c r="FI120" s="493"/>
      <c r="FJ120" s="493"/>
      <c r="FK120" s="493"/>
      <c r="FL120" s="493"/>
      <c r="FM120" s="493"/>
      <c r="FN120" s="493"/>
      <c r="FO120" s="493"/>
      <c r="FP120" s="493"/>
      <c r="FQ120" s="493"/>
      <c r="FR120" s="493"/>
      <c r="FS120" s="493"/>
      <c r="FT120" s="493"/>
      <c r="FU120" s="493"/>
      <c r="FV120" s="493"/>
      <c r="FW120" s="493"/>
      <c r="FX120" s="493"/>
      <c r="FY120" s="493"/>
      <c r="FZ120" s="493"/>
      <c r="GA120" s="493"/>
      <c r="GB120" s="493"/>
      <c r="GC120" s="493"/>
      <c r="GD120" s="493"/>
    </row>
    <row r="121" spans="1:186" ht="15" customHeight="1">
      <c r="A121" s="363"/>
      <c r="B121" s="371"/>
      <c r="C121" s="372"/>
      <c r="D121" s="76"/>
      <c r="F121" s="76"/>
      <c r="I121" s="76"/>
      <c r="J121" s="76"/>
      <c r="L121" s="76"/>
      <c r="O121" s="492"/>
      <c r="P121" s="516">
        <f t="shared" si="35"/>
        <v>6500</v>
      </c>
      <c r="Q121" s="517">
        <f t="shared" si="40"/>
        <v>149.59007579333158</v>
      </c>
      <c r="R121" s="517">
        <f t="shared" si="36"/>
        <v>219.76615384615386</v>
      </c>
      <c r="S121" s="516">
        <f t="shared" si="37"/>
        <v>6500</v>
      </c>
      <c r="T121" s="517">
        <f t="shared" si="38"/>
        <v>221.98963554232211</v>
      </c>
      <c r="U121" s="517">
        <f t="shared" si="39"/>
        <v>326.12997980057412</v>
      </c>
      <c r="V121" s="516">
        <f t="shared" si="32"/>
        <v>6500</v>
      </c>
      <c r="W121" s="516">
        <f t="shared" si="26"/>
        <v>264.33115449325362</v>
      </c>
      <c r="X121" s="517">
        <f t="shared" si="33"/>
        <v>388.33486016112715</v>
      </c>
      <c r="Y121" s="492"/>
      <c r="Z121" s="492"/>
      <c r="AA121" s="537"/>
      <c r="AB121" s="537"/>
      <c r="AC121" s="537"/>
      <c r="AD121" s="537"/>
      <c r="AE121" s="492"/>
      <c r="AF121" s="492"/>
      <c r="AG121" s="492"/>
      <c r="AH121" s="493"/>
      <c r="AI121" s="493"/>
      <c r="AJ121" s="493"/>
      <c r="AK121" s="493"/>
      <c r="AL121" s="493"/>
      <c r="AM121" s="493"/>
      <c r="AN121" s="493"/>
      <c r="AO121" s="493"/>
      <c r="AP121" s="493"/>
      <c r="AQ121" s="493"/>
      <c r="AR121" s="493"/>
      <c r="AS121" s="493"/>
      <c r="AT121" s="493"/>
      <c r="AU121" s="493"/>
      <c r="AV121" s="493"/>
      <c r="AW121" s="493"/>
      <c r="AX121" s="493"/>
      <c r="AY121" s="493"/>
      <c r="AZ121" s="493"/>
      <c r="BA121" s="493"/>
      <c r="BB121" s="493"/>
      <c r="BC121" s="493"/>
      <c r="BD121" s="493"/>
      <c r="BE121" s="493"/>
      <c r="BF121" s="493"/>
      <c r="BG121" s="493"/>
      <c r="BH121" s="493"/>
      <c r="BI121" s="493"/>
      <c r="BJ121" s="493"/>
      <c r="BK121" s="493"/>
      <c r="BL121" s="493"/>
      <c r="BM121" s="493"/>
      <c r="BN121" s="493"/>
      <c r="BO121" s="493"/>
      <c r="BP121" s="493"/>
      <c r="BQ121" s="493"/>
      <c r="BR121" s="493"/>
      <c r="BS121" s="493"/>
      <c r="BT121" s="493"/>
      <c r="BU121" s="493"/>
      <c r="BV121" s="493"/>
      <c r="BW121" s="493"/>
      <c r="BX121" s="493"/>
      <c r="BY121" s="493"/>
      <c r="BZ121" s="493"/>
      <c r="CA121" s="493"/>
      <c r="CB121" s="493"/>
      <c r="CC121" s="493"/>
      <c r="CD121" s="493"/>
      <c r="CE121" s="493"/>
      <c r="CF121" s="493"/>
      <c r="CG121" s="493"/>
      <c r="CH121" s="493"/>
      <c r="CI121" s="493"/>
      <c r="CJ121" s="493"/>
      <c r="CK121" s="493"/>
      <c r="CL121" s="493"/>
      <c r="CM121" s="493"/>
      <c r="CN121" s="493"/>
      <c r="CO121" s="493"/>
      <c r="CP121" s="493"/>
      <c r="CQ121" s="493"/>
      <c r="CR121" s="493"/>
      <c r="CS121" s="493"/>
      <c r="CT121" s="493"/>
      <c r="CU121" s="493"/>
      <c r="CV121" s="493"/>
      <c r="CW121" s="493"/>
      <c r="CX121" s="493"/>
      <c r="CY121" s="493"/>
      <c r="CZ121" s="493"/>
      <c r="DA121" s="493"/>
      <c r="DB121" s="493"/>
      <c r="DC121" s="493"/>
      <c r="DD121" s="493"/>
      <c r="DE121" s="493"/>
      <c r="DF121" s="493"/>
      <c r="DG121" s="493"/>
      <c r="DH121" s="493"/>
      <c r="DI121" s="493"/>
      <c r="DJ121" s="493"/>
      <c r="DK121" s="493"/>
      <c r="DL121" s="493"/>
      <c r="DM121" s="493"/>
      <c r="DN121" s="493"/>
      <c r="DO121" s="493"/>
      <c r="DP121" s="493"/>
      <c r="DQ121" s="493"/>
      <c r="DR121" s="493"/>
      <c r="DS121" s="493"/>
      <c r="DT121" s="493"/>
      <c r="DU121" s="493"/>
      <c r="DV121" s="493"/>
      <c r="DW121" s="493"/>
      <c r="DX121" s="493"/>
      <c r="DY121" s="493"/>
      <c r="DZ121" s="493"/>
      <c r="EA121" s="493"/>
      <c r="EB121" s="493"/>
      <c r="EC121" s="493"/>
      <c r="ED121" s="493"/>
      <c r="EE121" s="493"/>
      <c r="EF121" s="493"/>
      <c r="EG121" s="493"/>
      <c r="EH121" s="493"/>
      <c r="EI121" s="493"/>
      <c r="EJ121" s="493"/>
      <c r="EK121" s="493"/>
      <c r="EL121" s="493"/>
      <c r="EM121" s="493"/>
      <c r="EN121" s="493"/>
      <c r="EO121" s="493"/>
      <c r="EP121" s="493"/>
      <c r="EQ121" s="493"/>
      <c r="ER121" s="493"/>
      <c r="ES121" s="493"/>
      <c r="ET121" s="493"/>
      <c r="EU121" s="493"/>
      <c r="EV121" s="493"/>
      <c r="EW121" s="493"/>
      <c r="EX121" s="493"/>
      <c r="EY121" s="493"/>
      <c r="EZ121" s="493"/>
      <c r="FA121" s="493"/>
      <c r="FB121" s="493"/>
      <c r="FC121" s="493"/>
      <c r="FD121" s="493"/>
      <c r="FE121" s="493"/>
      <c r="FF121" s="493"/>
      <c r="FG121" s="493"/>
      <c r="FH121" s="493"/>
      <c r="FI121" s="493"/>
      <c r="FJ121" s="493"/>
      <c r="FK121" s="493"/>
      <c r="FL121" s="493"/>
      <c r="FM121" s="493"/>
      <c r="FN121" s="493"/>
      <c r="FO121" s="493"/>
      <c r="FP121" s="493"/>
      <c r="FQ121" s="493"/>
      <c r="FR121" s="493"/>
      <c r="FS121" s="493"/>
      <c r="FT121" s="493"/>
      <c r="FU121" s="493"/>
      <c r="FV121" s="493"/>
      <c r="FW121" s="493"/>
      <c r="FX121" s="493"/>
      <c r="FY121" s="493"/>
      <c r="FZ121" s="493"/>
      <c r="GA121" s="493"/>
      <c r="GB121" s="493"/>
      <c r="GC121" s="493"/>
      <c r="GD121" s="493"/>
    </row>
    <row r="122" spans="1:186" ht="15" customHeight="1">
      <c r="A122" s="363"/>
      <c r="B122" s="371"/>
      <c r="C122" s="372"/>
      <c r="D122" s="76"/>
      <c r="F122" s="76"/>
      <c r="I122" s="76"/>
      <c r="J122" s="76"/>
      <c r="L122" s="76"/>
      <c r="O122" s="492"/>
      <c r="P122" s="516">
        <f t="shared" si="35"/>
        <v>6500</v>
      </c>
      <c r="Q122" s="517">
        <f t="shared" si="40"/>
        <v>149.59007579333158</v>
      </c>
      <c r="R122" s="517">
        <f t="shared" si="36"/>
        <v>219.76615384615386</v>
      </c>
      <c r="S122" s="516">
        <f t="shared" si="37"/>
        <v>6500</v>
      </c>
      <c r="T122" s="517">
        <f t="shared" si="38"/>
        <v>221.98963554232211</v>
      </c>
      <c r="U122" s="517">
        <f t="shared" si="39"/>
        <v>326.12997980057412</v>
      </c>
      <c r="V122" s="516">
        <f t="shared" si="32"/>
        <v>6500</v>
      </c>
      <c r="W122" s="516">
        <f t="shared" si="26"/>
        <v>264.33115449325362</v>
      </c>
      <c r="X122" s="517">
        <f t="shared" si="33"/>
        <v>388.33486016112715</v>
      </c>
      <c r="Y122" s="492"/>
      <c r="Z122" s="492"/>
      <c r="AA122" s="537"/>
      <c r="AB122" s="537"/>
      <c r="AC122" s="537"/>
      <c r="AD122" s="537"/>
      <c r="AE122" s="492"/>
      <c r="AF122" s="492"/>
      <c r="AG122" s="492"/>
      <c r="AH122" s="493"/>
      <c r="AI122" s="493"/>
      <c r="AJ122" s="493"/>
      <c r="AK122" s="493"/>
      <c r="AL122" s="493"/>
      <c r="AM122" s="493"/>
      <c r="AN122" s="493"/>
      <c r="AO122" s="493"/>
      <c r="AP122" s="493"/>
      <c r="AQ122" s="493"/>
      <c r="AR122" s="493"/>
      <c r="AS122" s="493"/>
      <c r="AT122" s="493"/>
      <c r="AU122" s="493"/>
      <c r="AV122" s="493"/>
      <c r="AW122" s="493"/>
      <c r="AX122" s="493"/>
      <c r="AY122" s="493"/>
      <c r="AZ122" s="493"/>
      <c r="BA122" s="493"/>
      <c r="BB122" s="493"/>
      <c r="BC122" s="493"/>
      <c r="BD122" s="493"/>
      <c r="BE122" s="493"/>
      <c r="BF122" s="493"/>
      <c r="BG122" s="493"/>
      <c r="BH122" s="493"/>
      <c r="BI122" s="493"/>
      <c r="BJ122" s="493"/>
      <c r="BK122" s="493"/>
      <c r="BL122" s="493"/>
      <c r="BM122" s="493"/>
      <c r="BN122" s="493"/>
      <c r="BO122" s="493"/>
      <c r="BP122" s="493"/>
      <c r="BQ122" s="493"/>
      <c r="BR122" s="493"/>
      <c r="BS122" s="493"/>
      <c r="BT122" s="493"/>
      <c r="BU122" s="493"/>
      <c r="BV122" s="493"/>
      <c r="BW122" s="493"/>
      <c r="BX122" s="493"/>
      <c r="BY122" s="493"/>
      <c r="BZ122" s="493"/>
      <c r="CA122" s="493"/>
      <c r="CB122" s="493"/>
      <c r="CC122" s="493"/>
      <c r="CD122" s="493"/>
      <c r="CE122" s="493"/>
      <c r="CF122" s="493"/>
      <c r="CG122" s="493"/>
      <c r="CH122" s="493"/>
      <c r="CI122" s="493"/>
      <c r="CJ122" s="493"/>
      <c r="CK122" s="493"/>
      <c r="CL122" s="493"/>
      <c r="CM122" s="493"/>
      <c r="CN122" s="493"/>
      <c r="CO122" s="493"/>
      <c r="CP122" s="493"/>
      <c r="CQ122" s="493"/>
      <c r="CR122" s="493"/>
      <c r="CS122" s="493"/>
      <c r="CT122" s="493"/>
      <c r="CU122" s="493"/>
      <c r="CV122" s="493"/>
      <c r="CW122" s="493"/>
      <c r="CX122" s="493"/>
      <c r="CY122" s="493"/>
      <c r="CZ122" s="493"/>
      <c r="DA122" s="493"/>
      <c r="DB122" s="493"/>
      <c r="DC122" s="493"/>
      <c r="DD122" s="493"/>
      <c r="DE122" s="493"/>
      <c r="DF122" s="493"/>
      <c r="DG122" s="493"/>
      <c r="DH122" s="493"/>
      <c r="DI122" s="493"/>
      <c r="DJ122" s="493"/>
      <c r="DK122" s="493"/>
      <c r="DL122" s="493"/>
      <c r="DM122" s="493"/>
      <c r="DN122" s="493"/>
      <c r="DO122" s="493"/>
      <c r="DP122" s="493"/>
      <c r="DQ122" s="493"/>
      <c r="DR122" s="493"/>
      <c r="DS122" s="493"/>
      <c r="DT122" s="493"/>
      <c r="DU122" s="493"/>
      <c r="DV122" s="493"/>
      <c r="DW122" s="493"/>
      <c r="DX122" s="493"/>
      <c r="DY122" s="493"/>
      <c r="DZ122" s="493"/>
      <c r="EA122" s="493"/>
      <c r="EB122" s="493"/>
      <c r="EC122" s="493"/>
      <c r="ED122" s="493"/>
      <c r="EE122" s="493"/>
      <c r="EF122" s="493"/>
      <c r="EG122" s="493"/>
      <c r="EH122" s="493"/>
      <c r="EI122" s="493"/>
      <c r="EJ122" s="493"/>
      <c r="EK122" s="493"/>
      <c r="EL122" s="493"/>
      <c r="EM122" s="493"/>
      <c r="EN122" s="493"/>
      <c r="EO122" s="493"/>
      <c r="EP122" s="493"/>
      <c r="EQ122" s="493"/>
      <c r="ER122" s="493"/>
      <c r="ES122" s="493"/>
      <c r="ET122" s="493"/>
      <c r="EU122" s="493"/>
      <c r="EV122" s="493"/>
      <c r="EW122" s="493"/>
      <c r="EX122" s="493"/>
      <c r="EY122" s="493"/>
      <c r="EZ122" s="493"/>
      <c r="FA122" s="493"/>
      <c r="FB122" s="493"/>
      <c r="FC122" s="493"/>
      <c r="FD122" s="493"/>
      <c r="FE122" s="493"/>
      <c r="FF122" s="493"/>
      <c r="FG122" s="493"/>
      <c r="FH122" s="493"/>
      <c r="FI122" s="493"/>
      <c r="FJ122" s="493"/>
      <c r="FK122" s="493"/>
      <c r="FL122" s="493"/>
      <c r="FM122" s="493"/>
      <c r="FN122" s="493"/>
      <c r="FO122" s="493"/>
      <c r="FP122" s="493"/>
      <c r="FQ122" s="493"/>
      <c r="FR122" s="493"/>
      <c r="FS122" s="493"/>
      <c r="FT122" s="493"/>
      <c r="FU122" s="493"/>
      <c r="FV122" s="493"/>
      <c r="FW122" s="493"/>
      <c r="FX122" s="493"/>
      <c r="FY122" s="493"/>
      <c r="FZ122" s="493"/>
      <c r="GA122" s="493"/>
      <c r="GB122" s="493"/>
      <c r="GC122" s="493"/>
      <c r="GD122" s="493"/>
    </row>
    <row r="123" spans="1:186" ht="15" customHeight="1">
      <c r="A123" s="363"/>
      <c r="B123" s="371"/>
      <c r="C123" s="372"/>
      <c r="D123" s="76"/>
      <c r="F123" s="76"/>
      <c r="I123" s="76"/>
      <c r="J123" s="76"/>
      <c r="L123" s="76"/>
      <c r="O123" s="492"/>
      <c r="P123" s="516">
        <f t="shared" si="35"/>
        <v>6500</v>
      </c>
      <c r="Q123" s="517">
        <f t="shared" si="40"/>
        <v>149.59007579333158</v>
      </c>
      <c r="R123" s="517">
        <f t="shared" si="36"/>
        <v>219.76615384615386</v>
      </c>
      <c r="S123" s="516">
        <f t="shared" si="37"/>
        <v>6500</v>
      </c>
      <c r="T123" s="517">
        <f t="shared" si="38"/>
        <v>221.98963554232211</v>
      </c>
      <c r="U123" s="517">
        <f t="shared" si="39"/>
        <v>326.12997980057412</v>
      </c>
      <c r="V123" s="516">
        <f t="shared" si="32"/>
        <v>6500</v>
      </c>
      <c r="W123" s="516">
        <f t="shared" si="26"/>
        <v>264.33115449325362</v>
      </c>
      <c r="X123" s="517">
        <f t="shared" si="33"/>
        <v>388.33486016112715</v>
      </c>
      <c r="Y123" s="492"/>
      <c r="Z123" s="492"/>
      <c r="AA123" s="537"/>
      <c r="AB123" s="537"/>
      <c r="AC123" s="537"/>
      <c r="AD123" s="537"/>
      <c r="AE123" s="492"/>
      <c r="AF123" s="492"/>
      <c r="AG123" s="492"/>
      <c r="AH123" s="493"/>
      <c r="AI123" s="493"/>
      <c r="AJ123" s="493"/>
      <c r="AK123" s="493"/>
      <c r="AL123" s="493"/>
      <c r="AM123" s="493"/>
      <c r="AN123" s="493"/>
      <c r="AO123" s="493"/>
      <c r="AP123" s="493"/>
      <c r="AQ123" s="493"/>
      <c r="AR123" s="493"/>
      <c r="AS123" s="493"/>
      <c r="AT123" s="493"/>
      <c r="AU123" s="493"/>
      <c r="AV123" s="493"/>
      <c r="AW123" s="493"/>
      <c r="AX123" s="493"/>
      <c r="AY123" s="493"/>
      <c r="AZ123" s="493"/>
      <c r="BA123" s="493"/>
      <c r="BB123" s="493"/>
      <c r="BC123" s="493"/>
      <c r="BD123" s="493"/>
      <c r="BE123" s="493"/>
      <c r="BF123" s="493"/>
      <c r="BG123" s="493"/>
      <c r="BH123" s="493"/>
      <c r="BI123" s="493"/>
      <c r="BJ123" s="493"/>
      <c r="BK123" s="493"/>
      <c r="BL123" s="493"/>
      <c r="BM123" s="493"/>
      <c r="BN123" s="493"/>
      <c r="BO123" s="493"/>
      <c r="BP123" s="493"/>
      <c r="BQ123" s="493"/>
      <c r="BR123" s="493"/>
      <c r="BS123" s="493"/>
      <c r="BT123" s="493"/>
      <c r="BU123" s="493"/>
      <c r="BV123" s="493"/>
      <c r="BW123" s="493"/>
      <c r="BX123" s="493"/>
      <c r="BY123" s="493"/>
      <c r="BZ123" s="493"/>
      <c r="CA123" s="493"/>
      <c r="CB123" s="493"/>
      <c r="CC123" s="493"/>
      <c r="CD123" s="493"/>
      <c r="CE123" s="493"/>
      <c r="CF123" s="493"/>
      <c r="CG123" s="493"/>
      <c r="CH123" s="493"/>
      <c r="CI123" s="493"/>
      <c r="CJ123" s="493"/>
      <c r="CK123" s="493"/>
      <c r="CL123" s="493"/>
      <c r="CM123" s="493"/>
      <c r="CN123" s="493"/>
      <c r="CO123" s="493"/>
      <c r="CP123" s="493"/>
      <c r="CQ123" s="493"/>
      <c r="CR123" s="493"/>
      <c r="CS123" s="493"/>
      <c r="CT123" s="493"/>
      <c r="CU123" s="493"/>
      <c r="CV123" s="493"/>
      <c r="CW123" s="493"/>
      <c r="CX123" s="493"/>
      <c r="CY123" s="493"/>
      <c r="CZ123" s="493"/>
      <c r="DA123" s="493"/>
      <c r="DB123" s="493"/>
      <c r="DC123" s="493"/>
      <c r="DD123" s="493"/>
      <c r="DE123" s="493"/>
      <c r="DF123" s="493"/>
      <c r="DG123" s="493"/>
      <c r="DH123" s="493"/>
      <c r="DI123" s="493"/>
      <c r="DJ123" s="493"/>
      <c r="DK123" s="493"/>
      <c r="DL123" s="493"/>
      <c r="DM123" s="493"/>
      <c r="DN123" s="493"/>
      <c r="DO123" s="493"/>
      <c r="DP123" s="493"/>
      <c r="DQ123" s="493"/>
      <c r="DR123" s="493"/>
      <c r="DS123" s="493"/>
      <c r="DT123" s="493"/>
      <c r="DU123" s="493"/>
      <c r="DV123" s="493"/>
      <c r="DW123" s="493"/>
      <c r="DX123" s="493"/>
      <c r="DY123" s="493"/>
      <c r="DZ123" s="493"/>
      <c r="EA123" s="493"/>
      <c r="EB123" s="493"/>
      <c r="EC123" s="493"/>
      <c r="ED123" s="493"/>
      <c r="EE123" s="493"/>
      <c r="EF123" s="493"/>
      <c r="EG123" s="493"/>
      <c r="EH123" s="493"/>
      <c r="EI123" s="493"/>
      <c r="EJ123" s="493"/>
      <c r="EK123" s="493"/>
      <c r="EL123" s="493"/>
      <c r="EM123" s="493"/>
      <c r="EN123" s="493"/>
      <c r="EO123" s="493"/>
      <c r="EP123" s="493"/>
      <c r="EQ123" s="493"/>
      <c r="ER123" s="493"/>
      <c r="ES123" s="493"/>
      <c r="ET123" s="493"/>
      <c r="EU123" s="493"/>
      <c r="EV123" s="493"/>
      <c r="EW123" s="493"/>
      <c r="EX123" s="493"/>
      <c r="EY123" s="493"/>
      <c r="EZ123" s="493"/>
      <c r="FA123" s="493"/>
      <c r="FB123" s="493"/>
      <c r="FC123" s="493"/>
      <c r="FD123" s="493"/>
      <c r="FE123" s="493"/>
      <c r="FF123" s="493"/>
      <c r="FG123" s="493"/>
      <c r="FH123" s="493"/>
      <c r="FI123" s="493"/>
      <c r="FJ123" s="493"/>
      <c r="FK123" s="493"/>
      <c r="FL123" s="493"/>
      <c r="FM123" s="493"/>
      <c r="FN123" s="493"/>
      <c r="FO123" s="493"/>
      <c r="FP123" s="493"/>
      <c r="FQ123" s="493"/>
      <c r="FR123" s="493"/>
      <c r="FS123" s="493"/>
      <c r="FT123" s="493"/>
      <c r="FU123" s="493"/>
      <c r="FV123" s="493"/>
      <c r="FW123" s="493"/>
      <c r="FX123" s="493"/>
      <c r="FY123" s="493"/>
      <c r="FZ123" s="493"/>
      <c r="GA123" s="493"/>
      <c r="GB123" s="493"/>
      <c r="GC123" s="493"/>
      <c r="GD123" s="493"/>
    </row>
    <row r="124" spans="1:186" ht="15" customHeight="1">
      <c r="A124" s="363"/>
      <c r="B124" s="371"/>
      <c r="C124" s="372"/>
      <c r="D124" s="76"/>
      <c r="F124" s="76"/>
      <c r="I124" s="76"/>
      <c r="J124" s="76"/>
      <c r="L124" s="76"/>
      <c r="O124" s="492"/>
      <c r="P124" s="516">
        <f t="shared" si="35"/>
        <v>6500</v>
      </c>
      <c r="Q124" s="517">
        <f t="shared" si="40"/>
        <v>149.59007579333158</v>
      </c>
      <c r="R124" s="517">
        <f t="shared" si="36"/>
        <v>219.76615384615386</v>
      </c>
      <c r="S124" s="516">
        <f t="shared" si="37"/>
        <v>6500</v>
      </c>
      <c r="T124" s="517">
        <f t="shared" si="38"/>
        <v>221.98963554232211</v>
      </c>
      <c r="U124" s="517">
        <f t="shared" si="39"/>
        <v>326.12997980057412</v>
      </c>
      <c r="V124" s="516">
        <f t="shared" si="32"/>
        <v>6500</v>
      </c>
      <c r="W124" s="516">
        <f t="shared" si="26"/>
        <v>264.33115449325362</v>
      </c>
      <c r="X124" s="517">
        <f t="shared" si="33"/>
        <v>388.33486016112715</v>
      </c>
      <c r="Y124" s="492"/>
      <c r="Z124" s="492"/>
      <c r="AA124" s="537"/>
      <c r="AB124" s="537"/>
      <c r="AC124" s="537"/>
      <c r="AD124" s="537"/>
      <c r="AE124" s="492"/>
      <c r="AF124" s="492"/>
      <c r="AG124" s="492"/>
      <c r="AH124" s="493"/>
      <c r="AI124" s="493"/>
      <c r="AJ124" s="493"/>
      <c r="AK124" s="493"/>
      <c r="AL124" s="493"/>
      <c r="AM124" s="493"/>
      <c r="AN124" s="493"/>
      <c r="AO124" s="493"/>
      <c r="AP124" s="493"/>
      <c r="AQ124" s="493"/>
      <c r="AR124" s="493"/>
      <c r="AS124" s="493"/>
      <c r="AT124" s="493"/>
      <c r="AU124" s="493"/>
      <c r="AV124" s="493"/>
      <c r="AW124" s="493"/>
      <c r="AX124" s="493"/>
      <c r="AY124" s="493"/>
      <c r="AZ124" s="493"/>
      <c r="BA124" s="493"/>
      <c r="BB124" s="493"/>
      <c r="BC124" s="493"/>
      <c r="BD124" s="493"/>
      <c r="BE124" s="493"/>
      <c r="BF124" s="493"/>
      <c r="BG124" s="493"/>
      <c r="BH124" s="493"/>
      <c r="BI124" s="493"/>
      <c r="BJ124" s="493"/>
      <c r="BK124" s="493"/>
      <c r="BL124" s="493"/>
      <c r="BM124" s="493"/>
      <c r="BN124" s="493"/>
      <c r="BO124" s="493"/>
      <c r="BP124" s="493"/>
      <c r="BQ124" s="493"/>
      <c r="BR124" s="493"/>
      <c r="BS124" s="493"/>
      <c r="BT124" s="493"/>
      <c r="BU124" s="493"/>
      <c r="BV124" s="493"/>
      <c r="BW124" s="493"/>
      <c r="BX124" s="493"/>
      <c r="BY124" s="493"/>
      <c r="BZ124" s="493"/>
      <c r="CA124" s="493"/>
      <c r="CB124" s="493"/>
      <c r="CC124" s="493"/>
      <c r="CD124" s="493"/>
      <c r="CE124" s="493"/>
      <c r="CF124" s="493"/>
      <c r="CG124" s="493"/>
      <c r="CH124" s="493"/>
      <c r="CI124" s="493"/>
      <c r="CJ124" s="493"/>
      <c r="CK124" s="493"/>
      <c r="CL124" s="493"/>
      <c r="CM124" s="493"/>
      <c r="CN124" s="493"/>
      <c r="CO124" s="493"/>
      <c r="CP124" s="493"/>
      <c r="CQ124" s="493"/>
      <c r="CR124" s="493"/>
      <c r="CS124" s="493"/>
      <c r="CT124" s="493"/>
      <c r="CU124" s="493"/>
      <c r="CV124" s="493"/>
      <c r="CW124" s="493"/>
      <c r="CX124" s="493"/>
      <c r="CY124" s="493"/>
      <c r="CZ124" s="493"/>
      <c r="DA124" s="493"/>
      <c r="DB124" s="493"/>
      <c r="DC124" s="493"/>
      <c r="DD124" s="493"/>
      <c r="DE124" s="493"/>
      <c r="DF124" s="493"/>
      <c r="DG124" s="493"/>
      <c r="DH124" s="493"/>
      <c r="DI124" s="493"/>
      <c r="DJ124" s="493"/>
      <c r="DK124" s="493"/>
      <c r="DL124" s="493"/>
      <c r="DM124" s="493"/>
      <c r="DN124" s="493"/>
      <c r="DO124" s="493"/>
      <c r="DP124" s="493"/>
      <c r="DQ124" s="493"/>
      <c r="DR124" s="493"/>
      <c r="DS124" s="493"/>
      <c r="DT124" s="493"/>
      <c r="DU124" s="493"/>
      <c r="DV124" s="493"/>
      <c r="DW124" s="493"/>
      <c r="DX124" s="493"/>
      <c r="DY124" s="493"/>
      <c r="DZ124" s="493"/>
      <c r="EA124" s="493"/>
      <c r="EB124" s="493"/>
      <c r="EC124" s="493"/>
      <c r="ED124" s="493"/>
      <c r="EE124" s="493"/>
      <c r="EF124" s="493"/>
      <c r="EG124" s="493"/>
      <c r="EH124" s="493"/>
      <c r="EI124" s="493"/>
      <c r="EJ124" s="493"/>
      <c r="EK124" s="493"/>
      <c r="EL124" s="493"/>
      <c r="EM124" s="493"/>
      <c r="EN124" s="493"/>
      <c r="EO124" s="493"/>
      <c r="EP124" s="493"/>
      <c r="EQ124" s="493"/>
      <c r="ER124" s="493"/>
      <c r="ES124" s="493"/>
      <c r="ET124" s="493"/>
      <c r="EU124" s="493"/>
      <c r="EV124" s="493"/>
      <c r="EW124" s="493"/>
      <c r="EX124" s="493"/>
      <c r="EY124" s="493"/>
      <c r="EZ124" s="493"/>
      <c r="FA124" s="493"/>
      <c r="FB124" s="493"/>
      <c r="FC124" s="493"/>
      <c r="FD124" s="493"/>
      <c r="FE124" s="493"/>
      <c r="FF124" s="493"/>
      <c r="FG124" s="493"/>
      <c r="FH124" s="493"/>
      <c r="FI124" s="493"/>
      <c r="FJ124" s="493"/>
      <c r="FK124" s="493"/>
      <c r="FL124" s="493"/>
      <c r="FM124" s="493"/>
      <c r="FN124" s="493"/>
      <c r="FO124" s="493"/>
      <c r="FP124" s="493"/>
      <c r="FQ124" s="493"/>
      <c r="FR124" s="493"/>
      <c r="FS124" s="493"/>
      <c r="FT124" s="493"/>
      <c r="FU124" s="493"/>
      <c r="FV124" s="493"/>
      <c r="FW124" s="493"/>
      <c r="FX124" s="493"/>
      <c r="FY124" s="493"/>
      <c r="FZ124" s="493"/>
      <c r="GA124" s="493"/>
      <c r="GB124" s="493"/>
      <c r="GC124" s="493"/>
      <c r="GD124" s="493"/>
    </row>
    <row r="125" spans="1:186" ht="15" customHeight="1">
      <c r="A125" s="363"/>
      <c r="B125" s="371"/>
      <c r="C125" s="372"/>
      <c r="D125" s="76"/>
      <c r="F125" s="76"/>
      <c r="I125" s="76"/>
      <c r="J125" s="76"/>
      <c r="L125" s="76"/>
      <c r="O125" s="492"/>
      <c r="P125" s="516">
        <f t="shared" si="35"/>
        <v>6500</v>
      </c>
      <c r="Q125" s="517">
        <f t="shared" si="40"/>
        <v>149.59007579333158</v>
      </c>
      <c r="R125" s="517">
        <f t="shared" si="36"/>
        <v>219.76615384615386</v>
      </c>
      <c r="S125" s="516">
        <f t="shared" si="37"/>
        <v>6500</v>
      </c>
      <c r="T125" s="517">
        <f t="shared" si="38"/>
        <v>221.98963554232211</v>
      </c>
      <c r="U125" s="517">
        <f t="shared" si="39"/>
        <v>326.12997980057412</v>
      </c>
      <c r="V125" s="516">
        <f t="shared" si="32"/>
        <v>6500</v>
      </c>
      <c r="W125" s="516">
        <f t="shared" si="26"/>
        <v>264.33115449325362</v>
      </c>
      <c r="X125" s="517">
        <f t="shared" si="33"/>
        <v>388.33486016112715</v>
      </c>
      <c r="Y125" s="492"/>
      <c r="Z125" s="492"/>
      <c r="AA125" s="537"/>
      <c r="AB125" s="537"/>
      <c r="AC125" s="537"/>
      <c r="AD125" s="537"/>
      <c r="AE125" s="492"/>
      <c r="AF125" s="492"/>
      <c r="AG125" s="492"/>
      <c r="AH125" s="493"/>
      <c r="AI125" s="493"/>
      <c r="AJ125" s="493"/>
      <c r="AK125" s="493"/>
      <c r="AL125" s="493"/>
      <c r="AM125" s="493"/>
      <c r="AN125" s="493"/>
      <c r="AO125" s="493"/>
      <c r="AP125" s="493"/>
      <c r="AQ125" s="493"/>
      <c r="AR125" s="493"/>
      <c r="AS125" s="493"/>
      <c r="AT125" s="493"/>
      <c r="AU125" s="493"/>
      <c r="AV125" s="493"/>
      <c r="AW125" s="493"/>
      <c r="AX125" s="493"/>
      <c r="AY125" s="493"/>
      <c r="AZ125" s="493"/>
      <c r="BA125" s="493"/>
      <c r="BB125" s="493"/>
      <c r="BC125" s="493"/>
      <c r="BD125" s="493"/>
      <c r="BE125" s="493"/>
      <c r="BF125" s="493"/>
      <c r="BG125" s="493"/>
      <c r="BH125" s="493"/>
      <c r="BI125" s="493"/>
      <c r="BJ125" s="493"/>
      <c r="BK125" s="493"/>
      <c r="BL125" s="493"/>
      <c r="BM125" s="493"/>
      <c r="BN125" s="493"/>
      <c r="BO125" s="493"/>
      <c r="BP125" s="493"/>
      <c r="BQ125" s="493"/>
      <c r="BR125" s="493"/>
      <c r="BS125" s="493"/>
      <c r="BT125" s="493"/>
      <c r="BU125" s="493"/>
      <c r="BV125" s="493"/>
      <c r="BW125" s="493"/>
      <c r="BX125" s="493"/>
      <c r="BY125" s="493"/>
      <c r="BZ125" s="493"/>
      <c r="CA125" s="493"/>
      <c r="CB125" s="493"/>
      <c r="CC125" s="493"/>
      <c r="CD125" s="493"/>
      <c r="CE125" s="493"/>
      <c r="CF125" s="493"/>
      <c r="CG125" s="493"/>
      <c r="CH125" s="493"/>
      <c r="CI125" s="493"/>
      <c r="CJ125" s="493"/>
      <c r="CK125" s="493"/>
      <c r="CL125" s="493"/>
      <c r="CM125" s="493"/>
      <c r="CN125" s="493"/>
      <c r="CO125" s="493"/>
      <c r="CP125" s="493"/>
      <c r="CQ125" s="493"/>
      <c r="CR125" s="493"/>
      <c r="CS125" s="493"/>
      <c r="CT125" s="493"/>
      <c r="CU125" s="493"/>
      <c r="CV125" s="493"/>
      <c r="CW125" s="493"/>
      <c r="CX125" s="493"/>
      <c r="CY125" s="493"/>
      <c r="CZ125" s="493"/>
      <c r="DA125" s="493"/>
      <c r="DB125" s="493"/>
      <c r="DC125" s="493"/>
      <c r="DD125" s="493"/>
      <c r="DE125" s="493"/>
      <c r="DF125" s="493"/>
      <c r="DG125" s="493"/>
      <c r="DH125" s="493"/>
      <c r="DI125" s="493"/>
      <c r="DJ125" s="493"/>
      <c r="DK125" s="493"/>
      <c r="DL125" s="493"/>
      <c r="DM125" s="493"/>
      <c r="DN125" s="493"/>
      <c r="DO125" s="493"/>
      <c r="DP125" s="493"/>
      <c r="DQ125" s="493"/>
      <c r="DR125" s="493"/>
      <c r="DS125" s="493"/>
      <c r="DT125" s="493"/>
      <c r="DU125" s="493"/>
      <c r="DV125" s="493"/>
      <c r="DW125" s="493"/>
      <c r="DX125" s="493"/>
      <c r="DY125" s="493"/>
      <c r="DZ125" s="493"/>
      <c r="EA125" s="493"/>
      <c r="EB125" s="493"/>
      <c r="EC125" s="493"/>
      <c r="ED125" s="493"/>
      <c r="EE125" s="493"/>
      <c r="EF125" s="493"/>
      <c r="EG125" s="493"/>
      <c r="EH125" s="493"/>
      <c r="EI125" s="493"/>
      <c r="EJ125" s="493"/>
      <c r="EK125" s="493"/>
      <c r="EL125" s="493"/>
      <c r="EM125" s="493"/>
      <c r="EN125" s="493"/>
      <c r="EO125" s="493"/>
      <c r="EP125" s="493"/>
      <c r="EQ125" s="493"/>
      <c r="ER125" s="493"/>
      <c r="ES125" s="493"/>
      <c r="ET125" s="493"/>
      <c r="EU125" s="493"/>
      <c r="EV125" s="493"/>
      <c r="EW125" s="493"/>
      <c r="EX125" s="493"/>
      <c r="EY125" s="493"/>
      <c r="EZ125" s="493"/>
      <c r="FA125" s="493"/>
      <c r="FB125" s="493"/>
      <c r="FC125" s="493"/>
      <c r="FD125" s="493"/>
      <c r="FE125" s="493"/>
      <c r="FF125" s="493"/>
      <c r="FG125" s="493"/>
      <c r="FH125" s="493"/>
      <c r="FI125" s="493"/>
      <c r="FJ125" s="493"/>
      <c r="FK125" s="493"/>
      <c r="FL125" s="493"/>
      <c r="FM125" s="493"/>
      <c r="FN125" s="493"/>
      <c r="FO125" s="493"/>
      <c r="FP125" s="493"/>
      <c r="FQ125" s="493"/>
      <c r="FR125" s="493"/>
      <c r="FS125" s="493"/>
      <c r="FT125" s="493"/>
      <c r="FU125" s="493"/>
      <c r="FV125" s="493"/>
      <c r="FW125" s="493"/>
      <c r="FX125" s="493"/>
      <c r="FY125" s="493"/>
      <c r="FZ125" s="493"/>
      <c r="GA125" s="493"/>
      <c r="GB125" s="493"/>
      <c r="GC125" s="493"/>
      <c r="GD125" s="493"/>
    </row>
    <row r="126" spans="1:186" ht="15" customHeight="1">
      <c r="A126" s="363"/>
      <c r="B126" s="371"/>
      <c r="C126" s="372"/>
      <c r="D126" s="76"/>
      <c r="F126" s="76"/>
      <c r="I126" s="76"/>
      <c r="J126" s="76"/>
      <c r="L126" s="76"/>
      <c r="O126" s="492"/>
      <c r="P126" s="516">
        <f t="shared" si="35"/>
        <v>6500</v>
      </c>
      <c r="Q126" s="517">
        <f t="shared" si="40"/>
        <v>149.59007579333158</v>
      </c>
      <c r="R126" s="517">
        <f t="shared" si="36"/>
        <v>219.76615384615386</v>
      </c>
      <c r="S126" s="516">
        <f t="shared" si="37"/>
        <v>6500</v>
      </c>
      <c r="T126" s="517">
        <f t="shared" si="38"/>
        <v>221.98963554232211</v>
      </c>
      <c r="U126" s="517">
        <f t="shared" si="39"/>
        <v>326.12997980057412</v>
      </c>
      <c r="V126" s="516">
        <f t="shared" si="32"/>
        <v>6500</v>
      </c>
      <c r="W126" s="516">
        <f t="shared" si="26"/>
        <v>264.33115449325362</v>
      </c>
      <c r="X126" s="517">
        <f t="shared" si="33"/>
        <v>388.33486016112715</v>
      </c>
      <c r="Y126" s="492"/>
      <c r="Z126" s="492"/>
      <c r="AA126" s="537"/>
      <c r="AB126" s="537"/>
      <c r="AC126" s="537"/>
      <c r="AD126" s="537"/>
      <c r="AE126" s="492"/>
      <c r="AF126" s="492"/>
      <c r="AG126" s="492"/>
      <c r="AH126" s="493"/>
      <c r="AI126" s="493"/>
      <c r="AJ126" s="493"/>
      <c r="AK126" s="493"/>
      <c r="AL126" s="493"/>
      <c r="AM126" s="493"/>
      <c r="AN126" s="493"/>
      <c r="AO126" s="493"/>
      <c r="AP126" s="493"/>
      <c r="AQ126" s="493"/>
      <c r="AR126" s="493"/>
      <c r="AS126" s="493"/>
      <c r="AT126" s="493"/>
      <c r="AU126" s="493"/>
      <c r="AV126" s="493"/>
      <c r="AW126" s="493"/>
      <c r="AX126" s="493"/>
      <c r="AY126" s="493"/>
      <c r="AZ126" s="493"/>
      <c r="BA126" s="493"/>
      <c r="BB126" s="493"/>
      <c r="BC126" s="493"/>
      <c r="BD126" s="493"/>
      <c r="BE126" s="493"/>
      <c r="BF126" s="493"/>
      <c r="BG126" s="493"/>
      <c r="BH126" s="493"/>
      <c r="BI126" s="493"/>
      <c r="BJ126" s="493"/>
      <c r="BK126" s="493"/>
      <c r="BL126" s="493"/>
      <c r="BM126" s="493"/>
      <c r="BN126" s="493"/>
      <c r="BO126" s="493"/>
      <c r="BP126" s="493"/>
      <c r="BQ126" s="493"/>
      <c r="BR126" s="493"/>
      <c r="BS126" s="493"/>
      <c r="BT126" s="493"/>
      <c r="BU126" s="493"/>
      <c r="BV126" s="493"/>
      <c r="BW126" s="493"/>
      <c r="BX126" s="493"/>
      <c r="BY126" s="493"/>
      <c r="BZ126" s="493"/>
      <c r="CA126" s="493"/>
      <c r="CB126" s="493"/>
      <c r="CC126" s="493"/>
      <c r="CD126" s="493"/>
      <c r="CE126" s="493"/>
      <c r="CF126" s="493"/>
      <c r="CG126" s="493"/>
      <c r="CH126" s="493"/>
      <c r="CI126" s="493"/>
      <c r="CJ126" s="493"/>
      <c r="CK126" s="493"/>
      <c r="CL126" s="493"/>
      <c r="CM126" s="493"/>
      <c r="CN126" s="493"/>
      <c r="CO126" s="493"/>
      <c r="CP126" s="493"/>
      <c r="CQ126" s="493"/>
      <c r="CR126" s="493"/>
      <c r="CS126" s="493"/>
      <c r="CT126" s="493"/>
      <c r="CU126" s="493"/>
      <c r="CV126" s="493"/>
      <c r="CW126" s="493"/>
      <c r="CX126" s="493"/>
      <c r="CY126" s="493"/>
      <c r="CZ126" s="493"/>
      <c r="DA126" s="493"/>
      <c r="DB126" s="493"/>
      <c r="DC126" s="493"/>
      <c r="DD126" s="493"/>
      <c r="DE126" s="493"/>
      <c r="DF126" s="493"/>
      <c r="DG126" s="493"/>
      <c r="DH126" s="493"/>
      <c r="DI126" s="493"/>
      <c r="DJ126" s="493"/>
      <c r="DK126" s="493"/>
      <c r="DL126" s="493"/>
      <c r="DM126" s="493"/>
      <c r="DN126" s="493"/>
      <c r="DO126" s="493"/>
      <c r="DP126" s="493"/>
      <c r="DQ126" s="493"/>
      <c r="DR126" s="493"/>
      <c r="DS126" s="493"/>
      <c r="DT126" s="493"/>
      <c r="DU126" s="493"/>
      <c r="DV126" s="493"/>
      <c r="DW126" s="493"/>
      <c r="DX126" s="493"/>
      <c r="DY126" s="493"/>
      <c r="DZ126" s="493"/>
      <c r="EA126" s="493"/>
      <c r="EB126" s="493"/>
      <c r="EC126" s="493"/>
      <c r="ED126" s="493"/>
      <c r="EE126" s="493"/>
      <c r="EF126" s="493"/>
      <c r="EG126" s="493"/>
      <c r="EH126" s="493"/>
      <c r="EI126" s="493"/>
      <c r="EJ126" s="493"/>
      <c r="EK126" s="493"/>
      <c r="EL126" s="493"/>
      <c r="EM126" s="493"/>
      <c r="EN126" s="493"/>
      <c r="EO126" s="493"/>
      <c r="EP126" s="493"/>
      <c r="EQ126" s="493"/>
      <c r="ER126" s="493"/>
      <c r="ES126" s="493"/>
      <c r="ET126" s="493"/>
      <c r="EU126" s="493"/>
      <c r="EV126" s="493"/>
      <c r="EW126" s="493"/>
      <c r="EX126" s="493"/>
      <c r="EY126" s="493"/>
      <c r="EZ126" s="493"/>
      <c r="FA126" s="493"/>
      <c r="FB126" s="493"/>
      <c r="FC126" s="493"/>
      <c r="FD126" s="493"/>
      <c r="FE126" s="493"/>
      <c r="FF126" s="493"/>
      <c r="FG126" s="493"/>
      <c r="FH126" s="493"/>
      <c r="FI126" s="493"/>
      <c r="FJ126" s="493"/>
      <c r="FK126" s="493"/>
      <c r="FL126" s="493"/>
      <c r="FM126" s="493"/>
      <c r="FN126" s="493"/>
      <c r="FO126" s="493"/>
      <c r="FP126" s="493"/>
      <c r="FQ126" s="493"/>
      <c r="FR126" s="493"/>
      <c r="FS126" s="493"/>
      <c r="FT126" s="493"/>
      <c r="FU126" s="493"/>
      <c r="FV126" s="493"/>
      <c r="FW126" s="493"/>
      <c r="FX126" s="493"/>
      <c r="FY126" s="493"/>
      <c r="FZ126" s="493"/>
      <c r="GA126" s="493"/>
      <c r="GB126" s="493"/>
      <c r="GC126" s="493"/>
      <c r="GD126" s="493"/>
    </row>
    <row r="127" spans="1:186" ht="15" customHeight="1">
      <c r="A127" s="363"/>
      <c r="B127" s="371"/>
      <c r="C127" s="372"/>
      <c r="D127" s="76"/>
      <c r="F127" s="76"/>
      <c r="I127" s="76"/>
      <c r="J127" s="76"/>
      <c r="L127" s="76"/>
      <c r="O127" s="492"/>
      <c r="P127" s="516">
        <f t="shared" si="35"/>
        <v>6500</v>
      </c>
      <c r="Q127" s="517">
        <f t="shared" si="40"/>
        <v>149.59007579333158</v>
      </c>
      <c r="R127" s="517">
        <f t="shared" si="36"/>
        <v>219.76615384615386</v>
      </c>
      <c r="S127" s="516">
        <f t="shared" si="37"/>
        <v>6500</v>
      </c>
      <c r="T127" s="517">
        <f t="shared" si="38"/>
        <v>221.98963554232211</v>
      </c>
      <c r="U127" s="517">
        <f t="shared" si="39"/>
        <v>326.12997980057412</v>
      </c>
      <c r="V127" s="516">
        <f t="shared" si="32"/>
        <v>6500</v>
      </c>
      <c r="W127" s="516">
        <f t="shared" si="26"/>
        <v>264.33115449325362</v>
      </c>
      <c r="X127" s="517">
        <f t="shared" si="33"/>
        <v>388.33486016112715</v>
      </c>
      <c r="Y127" s="492"/>
      <c r="Z127" s="492"/>
      <c r="AA127" s="537"/>
      <c r="AB127" s="537"/>
      <c r="AC127" s="537"/>
      <c r="AD127" s="537"/>
      <c r="AE127" s="492"/>
      <c r="AF127" s="492"/>
      <c r="AG127" s="492"/>
      <c r="AH127" s="493"/>
      <c r="AI127" s="493"/>
      <c r="AJ127" s="493"/>
      <c r="AK127" s="493"/>
      <c r="AL127" s="493"/>
      <c r="AM127" s="493"/>
      <c r="AN127" s="493"/>
      <c r="AO127" s="493"/>
      <c r="AP127" s="493"/>
      <c r="AQ127" s="493"/>
      <c r="AR127" s="493"/>
      <c r="AS127" s="493"/>
      <c r="AT127" s="493"/>
      <c r="AU127" s="493"/>
      <c r="AV127" s="493"/>
      <c r="AW127" s="493"/>
      <c r="AX127" s="493"/>
      <c r="AY127" s="493"/>
      <c r="AZ127" s="493"/>
      <c r="BA127" s="493"/>
      <c r="BB127" s="493"/>
      <c r="BC127" s="493"/>
      <c r="BD127" s="493"/>
      <c r="BE127" s="493"/>
      <c r="BF127" s="493"/>
      <c r="BG127" s="493"/>
      <c r="BH127" s="493"/>
      <c r="BI127" s="493"/>
      <c r="BJ127" s="493"/>
      <c r="BK127" s="493"/>
      <c r="BL127" s="493"/>
      <c r="BM127" s="493"/>
      <c r="BN127" s="493"/>
      <c r="BO127" s="493"/>
      <c r="BP127" s="493"/>
      <c r="BQ127" s="493"/>
      <c r="BR127" s="493"/>
      <c r="BS127" s="493"/>
      <c r="BT127" s="493"/>
      <c r="BU127" s="493"/>
      <c r="BV127" s="493"/>
      <c r="BW127" s="493"/>
      <c r="BX127" s="493"/>
      <c r="BY127" s="493"/>
      <c r="BZ127" s="493"/>
      <c r="CA127" s="493"/>
      <c r="CB127" s="493"/>
      <c r="CC127" s="493"/>
      <c r="CD127" s="493"/>
      <c r="CE127" s="493"/>
      <c r="CF127" s="493"/>
      <c r="CG127" s="493"/>
      <c r="CH127" s="493"/>
      <c r="CI127" s="493"/>
      <c r="CJ127" s="493"/>
      <c r="CK127" s="493"/>
      <c r="CL127" s="493"/>
      <c r="CM127" s="493"/>
      <c r="CN127" s="493"/>
      <c r="CO127" s="493"/>
      <c r="CP127" s="493"/>
      <c r="CQ127" s="493"/>
      <c r="CR127" s="493"/>
      <c r="CS127" s="493"/>
      <c r="CT127" s="493"/>
      <c r="CU127" s="493"/>
      <c r="CV127" s="493"/>
      <c r="CW127" s="493"/>
      <c r="CX127" s="493"/>
      <c r="CY127" s="493"/>
      <c r="CZ127" s="493"/>
      <c r="DA127" s="493"/>
      <c r="DB127" s="493"/>
      <c r="DC127" s="493"/>
      <c r="DD127" s="493"/>
      <c r="DE127" s="493"/>
      <c r="DF127" s="493"/>
      <c r="DG127" s="493"/>
      <c r="DH127" s="493"/>
      <c r="DI127" s="493"/>
      <c r="DJ127" s="493"/>
      <c r="DK127" s="493"/>
      <c r="DL127" s="493"/>
      <c r="DM127" s="493"/>
      <c r="DN127" s="493"/>
      <c r="DO127" s="493"/>
      <c r="DP127" s="493"/>
      <c r="DQ127" s="493"/>
      <c r="DR127" s="493"/>
      <c r="DS127" s="493"/>
      <c r="DT127" s="493"/>
      <c r="DU127" s="493"/>
      <c r="DV127" s="493"/>
      <c r="DW127" s="493"/>
      <c r="DX127" s="493"/>
      <c r="DY127" s="493"/>
      <c r="DZ127" s="493"/>
      <c r="EA127" s="493"/>
      <c r="EB127" s="493"/>
      <c r="EC127" s="493"/>
      <c r="ED127" s="493"/>
      <c r="EE127" s="493"/>
      <c r="EF127" s="493"/>
      <c r="EG127" s="493"/>
      <c r="EH127" s="493"/>
      <c r="EI127" s="493"/>
      <c r="EJ127" s="493"/>
      <c r="EK127" s="493"/>
      <c r="EL127" s="493"/>
      <c r="EM127" s="493"/>
      <c r="EN127" s="493"/>
      <c r="EO127" s="493"/>
      <c r="EP127" s="493"/>
      <c r="EQ127" s="493"/>
      <c r="ER127" s="493"/>
      <c r="ES127" s="493"/>
      <c r="ET127" s="493"/>
      <c r="EU127" s="493"/>
      <c r="EV127" s="493"/>
      <c r="EW127" s="493"/>
      <c r="EX127" s="493"/>
      <c r="EY127" s="493"/>
      <c r="EZ127" s="493"/>
      <c r="FA127" s="493"/>
      <c r="FB127" s="493"/>
      <c r="FC127" s="493"/>
      <c r="FD127" s="493"/>
      <c r="FE127" s="493"/>
      <c r="FF127" s="493"/>
      <c r="FG127" s="493"/>
      <c r="FH127" s="493"/>
      <c r="FI127" s="493"/>
      <c r="FJ127" s="493"/>
      <c r="FK127" s="493"/>
      <c r="FL127" s="493"/>
      <c r="FM127" s="493"/>
      <c r="FN127" s="493"/>
      <c r="FO127" s="493"/>
      <c r="FP127" s="493"/>
      <c r="FQ127" s="493"/>
      <c r="FR127" s="493"/>
      <c r="FS127" s="493"/>
      <c r="FT127" s="493"/>
      <c r="FU127" s="493"/>
      <c r="FV127" s="493"/>
      <c r="FW127" s="493"/>
      <c r="FX127" s="493"/>
      <c r="FY127" s="493"/>
      <c r="FZ127" s="493"/>
      <c r="GA127" s="493"/>
      <c r="GB127" s="493"/>
      <c r="GC127" s="493"/>
      <c r="GD127" s="493"/>
    </row>
    <row r="128" spans="1:186" ht="15" customHeight="1">
      <c r="A128" s="363"/>
      <c r="B128" s="371"/>
      <c r="C128" s="372"/>
      <c r="D128" s="76"/>
      <c r="F128" s="76"/>
      <c r="I128" s="76"/>
      <c r="J128" s="76"/>
      <c r="L128" s="76"/>
      <c r="O128" s="492"/>
      <c r="P128" s="516">
        <f t="shared" si="35"/>
        <v>6500</v>
      </c>
      <c r="Q128" s="517">
        <f t="shared" si="40"/>
        <v>149.59007579333158</v>
      </c>
      <c r="R128" s="517">
        <f t="shared" si="36"/>
        <v>219.76615384615386</v>
      </c>
      <c r="S128" s="516">
        <f t="shared" si="37"/>
        <v>6500</v>
      </c>
      <c r="T128" s="517">
        <f t="shared" si="38"/>
        <v>221.98963554232211</v>
      </c>
      <c r="U128" s="517">
        <f t="shared" si="39"/>
        <v>326.12997980057412</v>
      </c>
      <c r="V128" s="516">
        <f t="shared" si="32"/>
        <v>6500</v>
      </c>
      <c r="W128" s="516">
        <f t="shared" si="26"/>
        <v>264.33115449325362</v>
      </c>
      <c r="X128" s="517">
        <f t="shared" si="33"/>
        <v>388.33486016112715</v>
      </c>
      <c r="Y128" s="492"/>
      <c r="Z128" s="492"/>
      <c r="AA128" s="537"/>
      <c r="AB128" s="537"/>
      <c r="AC128" s="537"/>
      <c r="AD128" s="537"/>
      <c r="AE128" s="492"/>
      <c r="AF128" s="492"/>
      <c r="AG128" s="492"/>
      <c r="AH128" s="493"/>
      <c r="AI128" s="493"/>
      <c r="AJ128" s="493"/>
      <c r="AK128" s="493"/>
      <c r="AL128" s="493"/>
      <c r="AM128" s="493"/>
      <c r="AN128" s="493"/>
      <c r="AO128" s="493"/>
      <c r="AP128" s="493"/>
      <c r="AQ128" s="493"/>
      <c r="AR128" s="493"/>
      <c r="AS128" s="493"/>
      <c r="AT128" s="493"/>
      <c r="AU128" s="493"/>
      <c r="AV128" s="493"/>
      <c r="AW128" s="493"/>
      <c r="AX128" s="493"/>
      <c r="AY128" s="493"/>
      <c r="AZ128" s="493"/>
      <c r="BA128" s="493"/>
      <c r="BB128" s="493"/>
      <c r="BC128" s="493"/>
      <c r="BD128" s="493"/>
      <c r="BE128" s="493"/>
      <c r="BF128" s="493"/>
      <c r="BG128" s="493"/>
      <c r="BH128" s="493"/>
      <c r="BI128" s="493"/>
      <c r="BJ128" s="493"/>
      <c r="BK128" s="493"/>
      <c r="BL128" s="493"/>
      <c r="BM128" s="493"/>
      <c r="BN128" s="493"/>
      <c r="BO128" s="493"/>
      <c r="BP128" s="493"/>
      <c r="BQ128" s="493"/>
      <c r="BR128" s="493"/>
      <c r="BS128" s="493"/>
      <c r="BT128" s="493"/>
      <c r="BU128" s="493"/>
      <c r="BV128" s="493"/>
      <c r="BW128" s="493"/>
      <c r="BX128" s="493"/>
      <c r="BY128" s="493"/>
      <c r="BZ128" s="493"/>
      <c r="CA128" s="493"/>
      <c r="CB128" s="493"/>
      <c r="CC128" s="493"/>
      <c r="CD128" s="493"/>
      <c r="CE128" s="493"/>
      <c r="CF128" s="493"/>
      <c r="CG128" s="493"/>
      <c r="CH128" s="493"/>
      <c r="CI128" s="493"/>
      <c r="CJ128" s="493"/>
      <c r="CK128" s="493"/>
      <c r="CL128" s="493"/>
      <c r="CM128" s="493"/>
      <c r="CN128" s="493"/>
      <c r="CO128" s="493"/>
      <c r="CP128" s="493"/>
      <c r="CQ128" s="493"/>
      <c r="CR128" s="493"/>
      <c r="CS128" s="493"/>
      <c r="CT128" s="493"/>
      <c r="CU128" s="493"/>
      <c r="CV128" s="493"/>
      <c r="CW128" s="493"/>
      <c r="CX128" s="493"/>
      <c r="CY128" s="493"/>
      <c r="CZ128" s="493"/>
      <c r="DA128" s="493"/>
      <c r="DB128" s="493"/>
      <c r="DC128" s="493"/>
      <c r="DD128" s="493"/>
      <c r="DE128" s="493"/>
      <c r="DF128" s="493"/>
      <c r="DG128" s="493"/>
      <c r="DH128" s="493"/>
      <c r="DI128" s="493"/>
      <c r="DJ128" s="493"/>
      <c r="DK128" s="493"/>
      <c r="DL128" s="493"/>
      <c r="DM128" s="493"/>
      <c r="DN128" s="493"/>
      <c r="DO128" s="493"/>
      <c r="DP128" s="493"/>
      <c r="DQ128" s="493"/>
      <c r="DR128" s="493"/>
      <c r="DS128" s="493"/>
      <c r="DT128" s="493"/>
      <c r="DU128" s="493"/>
      <c r="DV128" s="493"/>
      <c r="DW128" s="493"/>
      <c r="DX128" s="493"/>
      <c r="DY128" s="493"/>
      <c r="DZ128" s="493"/>
      <c r="EA128" s="493"/>
      <c r="EB128" s="493"/>
      <c r="EC128" s="493"/>
      <c r="ED128" s="493"/>
      <c r="EE128" s="493"/>
      <c r="EF128" s="493"/>
      <c r="EG128" s="493"/>
      <c r="EH128" s="493"/>
      <c r="EI128" s="493"/>
      <c r="EJ128" s="493"/>
      <c r="EK128" s="493"/>
      <c r="EL128" s="493"/>
      <c r="EM128" s="493"/>
      <c r="EN128" s="493"/>
      <c r="EO128" s="493"/>
      <c r="EP128" s="493"/>
      <c r="EQ128" s="493"/>
      <c r="ER128" s="493"/>
      <c r="ES128" s="493"/>
      <c r="ET128" s="493"/>
      <c r="EU128" s="493"/>
      <c r="EV128" s="493"/>
      <c r="EW128" s="493"/>
      <c r="EX128" s="493"/>
      <c r="EY128" s="493"/>
      <c r="EZ128" s="493"/>
      <c r="FA128" s="493"/>
      <c r="FB128" s="493"/>
      <c r="FC128" s="493"/>
      <c r="FD128" s="493"/>
      <c r="FE128" s="493"/>
      <c r="FF128" s="493"/>
      <c r="FG128" s="493"/>
      <c r="FH128" s="493"/>
      <c r="FI128" s="493"/>
      <c r="FJ128" s="493"/>
      <c r="FK128" s="493"/>
      <c r="FL128" s="493"/>
      <c r="FM128" s="493"/>
      <c r="FN128" s="493"/>
      <c r="FO128" s="493"/>
      <c r="FP128" s="493"/>
      <c r="FQ128" s="493"/>
      <c r="FR128" s="493"/>
      <c r="FS128" s="493"/>
      <c r="FT128" s="493"/>
      <c r="FU128" s="493"/>
      <c r="FV128" s="493"/>
      <c r="FW128" s="493"/>
      <c r="FX128" s="493"/>
      <c r="FY128" s="493"/>
      <c r="FZ128" s="493"/>
      <c r="GA128" s="493"/>
      <c r="GB128" s="493"/>
      <c r="GC128" s="493"/>
      <c r="GD128" s="493"/>
    </row>
    <row r="129" spans="1:186" ht="15" customHeight="1">
      <c r="A129" s="363"/>
      <c r="B129" s="371"/>
      <c r="C129" s="372"/>
      <c r="D129" s="76"/>
      <c r="F129" s="76"/>
      <c r="I129" s="76"/>
      <c r="J129" s="76"/>
      <c r="L129" s="76"/>
      <c r="O129" s="492"/>
      <c r="P129" s="516">
        <f t="shared" si="35"/>
        <v>6500</v>
      </c>
      <c r="Q129" s="517">
        <f t="shared" si="40"/>
        <v>149.59007579333158</v>
      </c>
      <c r="R129" s="517">
        <f t="shared" si="36"/>
        <v>219.76615384615386</v>
      </c>
      <c r="S129" s="516">
        <f t="shared" si="37"/>
        <v>6500</v>
      </c>
      <c r="T129" s="517">
        <f t="shared" si="38"/>
        <v>221.98963554232211</v>
      </c>
      <c r="U129" s="517">
        <f t="shared" si="39"/>
        <v>326.12997980057412</v>
      </c>
      <c r="V129" s="516">
        <f t="shared" si="32"/>
        <v>6500</v>
      </c>
      <c r="W129" s="516">
        <f t="shared" si="26"/>
        <v>264.33115449325362</v>
      </c>
      <c r="X129" s="517">
        <f t="shared" si="33"/>
        <v>388.33486016112715</v>
      </c>
      <c r="Y129" s="492"/>
      <c r="Z129" s="492"/>
      <c r="AA129" s="537"/>
      <c r="AB129" s="537"/>
      <c r="AC129" s="537"/>
      <c r="AD129" s="537"/>
      <c r="AE129" s="492"/>
      <c r="AF129" s="492"/>
      <c r="AG129" s="492"/>
      <c r="AH129" s="493"/>
      <c r="AI129" s="493"/>
      <c r="AJ129" s="493"/>
      <c r="AK129" s="493"/>
      <c r="AL129" s="493"/>
      <c r="AM129" s="493"/>
      <c r="AN129" s="493"/>
      <c r="AO129" s="493"/>
      <c r="AP129" s="493"/>
      <c r="AQ129" s="493"/>
      <c r="AR129" s="493"/>
      <c r="AS129" s="493"/>
      <c r="AT129" s="493"/>
      <c r="AU129" s="493"/>
      <c r="AV129" s="493"/>
      <c r="AW129" s="493"/>
      <c r="AX129" s="493"/>
      <c r="AY129" s="493"/>
      <c r="AZ129" s="493"/>
      <c r="BA129" s="493"/>
      <c r="BB129" s="493"/>
      <c r="BC129" s="493"/>
      <c r="BD129" s="493"/>
      <c r="BE129" s="493"/>
      <c r="BF129" s="493"/>
      <c r="BG129" s="493"/>
      <c r="BH129" s="493"/>
      <c r="BI129" s="493"/>
      <c r="BJ129" s="493"/>
      <c r="BK129" s="493"/>
      <c r="BL129" s="493"/>
      <c r="BM129" s="493"/>
      <c r="BN129" s="493"/>
      <c r="BO129" s="493"/>
      <c r="BP129" s="493"/>
      <c r="BQ129" s="493"/>
      <c r="BR129" s="493"/>
      <c r="BS129" s="493"/>
      <c r="BT129" s="493"/>
      <c r="BU129" s="493"/>
      <c r="BV129" s="493"/>
      <c r="BW129" s="493"/>
      <c r="BX129" s="493"/>
      <c r="BY129" s="493"/>
      <c r="BZ129" s="493"/>
      <c r="CA129" s="493"/>
      <c r="CB129" s="493"/>
      <c r="CC129" s="493"/>
      <c r="CD129" s="493"/>
      <c r="CE129" s="493"/>
      <c r="CF129" s="493"/>
      <c r="CG129" s="493"/>
      <c r="CH129" s="493"/>
      <c r="CI129" s="493"/>
      <c r="CJ129" s="493"/>
      <c r="CK129" s="493"/>
      <c r="CL129" s="493"/>
      <c r="CM129" s="493"/>
      <c r="CN129" s="493"/>
      <c r="CO129" s="493"/>
      <c r="CP129" s="493"/>
      <c r="CQ129" s="493"/>
      <c r="CR129" s="493"/>
      <c r="CS129" s="493"/>
      <c r="CT129" s="493"/>
      <c r="CU129" s="493"/>
      <c r="CV129" s="493"/>
      <c r="CW129" s="493"/>
      <c r="CX129" s="493"/>
      <c r="CY129" s="493"/>
      <c r="CZ129" s="493"/>
      <c r="DA129" s="493"/>
      <c r="DB129" s="493"/>
      <c r="DC129" s="493"/>
      <c r="DD129" s="493"/>
      <c r="DE129" s="493"/>
      <c r="DF129" s="493"/>
      <c r="DG129" s="493"/>
      <c r="DH129" s="493"/>
      <c r="DI129" s="493"/>
      <c r="DJ129" s="493"/>
      <c r="DK129" s="493"/>
      <c r="DL129" s="493"/>
      <c r="DM129" s="493"/>
      <c r="DN129" s="493"/>
      <c r="DO129" s="493"/>
      <c r="DP129" s="493"/>
      <c r="DQ129" s="493"/>
      <c r="DR129" s="493"/>
      <c r="DS129" s="493"/>
      <c r="DT129" s="493"/>
      <c r="DU129" s="493"/>
      <c r="DV129" s="493"/>
      <c r="DW129" s="493"/>
      <c r="DX129" s="493"/>
      <c r="DY129" s="493"/>
      <c r="DZ129" s="493"/>
      <c r="EA129" s="493"/>
      <c r="EB129" s="493"/>
      <c r="EC129" s="493"/>
      <c r="ED129" s="493"/>
      <c r="EE129" s="493"/>
      <c r="EF129" s="493"/>
      <c r="EG129" s="493"/>
      <c r="EH129" s="493"/>
      <c r="EI129" s="493"/>
      <c r="EJ129" s="493"/>
      <c r="EK129" s="493"/>
      <c r="EL129" s="493"/>
      <c r="EM129" s="493"/>
      <c r="EN129" s="493"/>
      <c r="EO129" s="493"/>
      <c r="EP129" s="493"/>
      <c r="EQ129" s="493"/>
      <c r="ER129" s="493"/>
      <c r="ES129" s="493"/>
      <c r="ET129" s="493"/>
      <c r="EU129" s="493"/>
      <c r="EV129" s="493"/>
      <c r="EW129" s="493"/>
      <c r="EX129" s="493"/>
      <c r="EY129" s="493"/>
      <c r="EZ129" s="493"/>
      <c r="FA129" s="493"/>
      <c r="FB129" s="493"/>
      <c r="FC129" s="493"/>
      <c r="FD129" s="493"/>
      <c r="FE129" s="493"/>
      <c r="FF129" s="493"/>
      <c r="FG129" s="493"/>
      <c r="FH129" s="493"/>
      <c r="FI129" s="493"/>
      <c r="FJ129" s="493"/>
      <c r="FK129" s="493"/>
      <c r="FL129" s="493"/>
      <c r="FM129" s="493"/>
      <c r="FN129" s="493"/>
      <c r="FO129" s="493"/>
      <c r="FP129" s="493"/>
      <c r="FQ129" s="493"/>
      <c r="FR129" s="493"/>
      <c r="FS129" s="493"/>
      <c r="FT129" s="493"/>
      <c r="FU129" s="493"/>
      <c r="FV129" s="493"/>
      <c r="FW129" s="493"/>
      <c r="FX129" s="493"/>
      <c r="FY129" s="493"/>
      <c r="FZ129" s="493"/>
      <c r="GA129" s="493"/>
      <c r="GB129" s="493"/>
      <c r="GC129" s="493"/>
      <c r="GD129" s="493"/>
    </row>
    <row r="130" spans="1:186" ht="15" customHeight="1">
      <c r="A130" s="363"/>
      <c r="B130" s="371"/>
      <c r="C130" s="372"/>
      <c r="D130" s="76"/>
      <c r="F130" s="76"/>
      <c r="I130" s="76"/>
      <c r="J130" s="76"/>
      <c r="L130" s="76"/>
      <c r="O130" s="492"/>
      <c r="P130" s="516">
        <f t="shared" si="35"/>
        <v>6500</v>
      </c>
      <c r="Q130" s="517">
        <f t="shared" si="40"/>
        <v>149.59007579333158</v>
      </c>
      <c r="R130" s="517">
        <f t="shared" si="36"/>
        <v>219.76615384615386</v>
      </c>
      <c r="S130" s="516">
        <f t="shared" si="37"/>
        <v>6500</v>
      </c>
      <c r="T130" s="517">
        <f t="shared" si="38"/>
        <v>221.98963554232211</v>
      </c>
      <c r="U130" s="517">
        <f t="shared" si="39"/>
        <v>326.12997980057412</v>
      </c>
      <c r="V130" s="516">
        <f t="shared" si="32"/>
        <v>6500</v>
      </c>
      <c r="W130" s="516">
        <f t="shared" si="26"/>
        <v>264.33115449325362</v>
      </c>
      <c r="X130" s="517">
        <f t="shared" si="33"/>
        <v>388.33486016112715</v>
      </c>
      <c r="Y130" s="492"/>
      <c r="Z130" s="492"/>
      <c r="AA130" s="537"/>
      <c r="AB130" s="537"/>
      <c r="AC130" s="537"/>
      <c r="AD130" s="537"/>
      <c r="AE130" s="492"/>
      <c r="AF130" s="492"/>
      <c r="AG130" s="492"/>
      <c r="AH130" s="493"/>
      <c r="AI130" s="493"/>
      <c r="AJ130" s="493"/>
      <c r="AK130" s="493"/>
      <c r="AL130" s="493"/>
      <c r="AM130" s="493"/>
      <c r="AN130" s="493"/>
      <c r="AO130" s="493"/>
      <c r="AP130" s="493"/>
      <c r="AQ130" s="493"/>
      <c r="AR130" s="493"/>
      <c r="AS130" s="493"/>
      <c r="AT130" s="493"/>
      <c r="AU130" s="493"/>
      <c r="AV130" s="493"/>
      <c r="AW130" s="493"/>
      <c r="AX130" s="493"/>
      <c r="AY130" s="493"/>
      <c r="AZ130" s="493"/>
      <c r="BA130" s="493"/>
      <c r="BB130" s="493"/>
      <c r="BC130" s="493"/>
      <c r="BD130" s="493"/>
      <c r="BE130" s="493"/>
      <c r="BF130" s="493"/>
      <c r="BG130" s="493"/>
      <c r="BH130" s="493"/>
      <c r="BI130" s="493"/>
      <c r="BJ130" s="493"/>
      <c r="BK130" s="493"/>
      <c r="BL130" s="493"/>
      <c r="BM130" s="493"/>
      <c r="BN130" s="493"/>
      <c r="BO130" s="493"/>
      <c r="BP130" s="493"/>
      <c r="BQ130" s="493"/>
      <c r="BR130" s="493"/>
      <c r="BS130" s="493"/>
      <c r="BT130" s="493"/>
      <c r="BU130" s="493"/>
      <c r="BV130" s="493"/>
      <c r="BW130" s="493"/>
      <c r="BX130" s="493"/>
      <c r="BY130" s="493"/>
      <c r="BZ130" s="493"/>
      <c r="CA130" s="493"/>
      <c r="CB130" s="493"/>
      <c r="CC130" s="493"/>
      <c r="CD130" s="493"/>
      <c r="CE130" s="493"/>
      <c r="CF130" s="493"/>
      <c r="CG130" s="493"/>
      <c r="CH130" s="493"/>
      <c r="CI130" s="493"/>
      <c r="CJ130" s="493"/>
      <c r="CK130" s="493"/>
      <c r="CL130" s="493"/>
      <c r="CM130" s="493"/>
      <c r="CN130" s="493"/>
      <c r="CO130" s="493"/>
      <c r="CP130" s="493"/>
      <c r="CQ130" s="493"/>
      <c r="CR130" s="493"/>
      <c r="CS130" s="493"/>
      <c r="CT130" s="493"/>
      <c r="CU130" s="493"/>
      <c r="CV130" s="493"/>
      <c r="CW130" s="493"/>
      <c r="CX130" s="493"/>
      <c r="CY130" s="493"/>
      <c r="CZ130" s="493"/>
      <c r="DA130" s="493"/>
      <c r="DB130" s="493"/>
      <c r="DC130" s="493"/>
      <c r="DD130" s="493"/>
      <c r="DE130" s="493"/>
      <c r="DF130" s="493"/>
      <c r="DG130" s="493"/>
      <c r="DH130" s="493"/>
      <c r="DI130" s="493"/>
      <c r="DJ130" s="493"/>
      <c r="DK130" s="493"/>
      <c r="DL130" s="493"/>
      <c r="DM130" s="493"/>
      <c r="DN130" s="493"/>
      <c r="DO130" s="493"/>
      <c r="DP130" s="493"/>
      <c r="DQ130" s="493"/>
      <c r="DR130" s="493"/>
      <c r="DS130" s="493"/>
      <c r="DT130" s="493"/>
      <c r="DU130" s="493"/>
      <c r="DV130" s="493"/>
      <c r="DW130" s="493"/>
      <c r="DX130" s="493"/>
      <c r="DY130" s="493"/>
      <c r="DZ130" s="493"/>
      <c r="EA130" s="493"/>
      <c r="EB130" s="493"/>
      <c r="EC130" s="493"/>
      <c r="ED130" s="493"/>
      <c r="EE130" s="493"/>
      <c r="EF130" s="493"/>
      <c r="EG130" s="493"/>
      <c r="EH130" s="493"/>
      <c r="EI130" s="493"/>
      <c r="EJ130" s="493"/>
      <c r="EK130" s="493"/>
      <c r="EL130" s="493"/>
      <c r="EM130" s="493"/>
      <c r="EN130" s="493"/>
      <c r="EO130" s="493"/>
      <c r="EP130" s="493"/>
      <c r="EQ130" s="493"/>
      <c r="ER130" s="493"/>
      <c r="ES130" s="493"/>
      <c r="ET130" s="493"/>
      <c r="EU130" s="493"/>
      <c r="EV130" s="493"/>
      <c r="EW130" s="493"/>
      <c r="EX130" s="493"/>
      <c r="EY130" s="493"/>
      <c r="EZ130" s="493"/>
      <c r="FA130" s="493"/>
      <c r="FB130" s="493"/>
      <c r="FC130" s="493"/>
      <c r="FD130" s="493"/>
      <c r="FE130" s="493"/>
      <c r="FF130" s="493"/>
      <c r="FG130" s="493"/>
      <c r="FH130" s="493"/>
      <c r="FI130" s="493"/>
      <c r="FJ130" s="493"/>
      <c r="FK130" s="493"/>
      <c r="FL130" s="493"/>
      <c r="FM130" s="493"/>
      <c r="FN130" s="493"/>
      <c r="FO130" s="493"/>
      <c r="FP130" s="493"/>
      <c r="FQ130" s="493"/>
      <c r="FR130" s="493"/>
      <c r="FS130" s="493"/>
      <c r="FT130" s="493"/>
      <c r="FU130" s="493"/>
      <c r="FV130" s="493"/>
      <c r="FW130" s="493"/>
      <c r="FX130" s="493"/>
      <c r="FY130" s="493"/>
      <c r="FZ130" s="493"/>
      <c r="GA130" s="493"/>
      <c r="GB130" s="493"/>
      <c r="GC130" s="493"/>
      <c r="GD130" s="493"/>
    </row>
    <row r="131" spans="1:186" ht="15" customHeight="1">
      <c r="A131" s="363"/>
      <c r="B131" s="371"/>
      <c r="C131" s="372"/>
      <c r="D131" s="76"/>
      <c r="F131" s="76"/>
      <c r="I131" s="76"/>
      <c r="J131" s="76"/>
      <c r="L131" s="76"/>
      <c r="O131" s="492"/>
      <c r="P131" s="516">
        <f t="shared" si="35"/>
        <v>6500</v>
      </c>
      <c r="Q131" s="517">
        <f t="shared" si="40"/>
        <v>149.59007579333158</v>
      </c>
      <c r="R131" s="517">
        <f>R130*(P130/P131)^(1+$AD$87)</f>
        <v>219.76615384615386</v>
      </c>
      <c r="S131" s="516">
        <f t="shared" si="37"/>
        <v>6500</v>
      </c>
      <c r="T131" s="517">
        <f t="shared" si="38"/>
        <v>221.98963554232211</v>
      </c>
      <c r="U131" s="517">
        <f>U130*(S130/S131)^(1+$AD$87)</f>
        <v>326.12997980057412</v>
      </c>
      <c r="V131" s="516">
        <f t="shared" si="32"/>
        <v>6500</v>
      </c>
      <c r="W131" s="516">
        <f t="shared" si="26"/>
        <v>264.33115449325362</v>
      </c>
      <c r="X131" s="517">
        <f>X130*(V130/V131)^(1+$AD$87)</f>
        <v>388.33486016112715</v>
      </c>
      <c r="Y131" s="492"/>
      <c r="Z131" s="492"/>
      <c r="AA131" s="537"/>
      <c r="AB131" s="537"/>
      <c r="AC131" s="537"/>
      <c r="AD131" s="537"/>
      <c r="AE131" s="492"/>
      <c r="AF131" s="492"/>
      <c r="AG131" s="492"/>
      <c r="AH131" s="493"/>
      <c r="AI131" s="493"/>
      <c r="AJ131" s="493"/>
      <c r="AK131" s="493"/>
      <c r="AL131" s="493"/>
      <c r="AM131" s="493"/>
      <c r="AN131" s="493"/>
      <c r="AO131" s="493"/>
      <c r="AP131" s="493"/>
      <c r="AQ131" s="493"/>
      <c r="AR131" s="493"/>
      <c r="AS131" s="493"/>
      <c r="AT131" s="493"/>
      <c r="AU131" s="493"/>
      <c r="AV131" s="493"/>
      <c r="AW131" s="493"/>
      <c r="AX131" s="493"/>
      <c r="AY131" s="493"/>
      <c r="AZ131" s="493"/>
      <c r="BA131" s="493"/>
      <c r="BB131" s="493"/>
      <c r="BC131" s="493"/>
      <c r="BD131" s="493"/>
      <c r="BE131" s="493"/>
      <c r="BF131" s="493"/>
      <c r="BG131" s="493"/>
      <c r="BH131" s="493"/>
      <c r="BI131" s="493"/>
      <c r="BJ131" s="493"/>
      <c r="BK131" s="493"/>
      <c r="BL131" s="493"/>
      <c r="BM131" s="493"/>
      <c r="BN131" s="493"/>
      <c r="BO131" s="493"/>
      <c r="BP131" s="493"/>
      <c r="BQ131" s="493"/>
      <c r="BR131" s="493"/>
      <c r="BS131" s="493"/>
      <c r="BT131" s="493"/>
      <c r="BU131" s="493"/>
      <c r="BV131" s="493"/>
      <c r="BW131" s="493"/>
      <c r="BX131" s="493"/>
      <c r="BY131" s="493"/>
      <c r="BZ131" s="493"/>
      <c r="CA131" s="493"/>
      <c r="CB131" s="493"/>
      <c r="CC131" s="493"/>
      <c r="CD131" s="493"/>
      <c r="CE131" s="493"/>
      <c r="CF131" s="493"/>
      <c r="CG131" s="493"/>
      <c r="CH131" s="493"/>
      <c r="CI131" s="493"/>
      <c r="CJ131" s="493"/>
      <c r="CK131" s="493"/>
      <c r="CL131" s="493"/>
      <c r="CM131" s="493"/>
      <c r="CN131" s="493"/>
      <c r="CO131" s="493"/>
      <c r="CP131" s="493"/>
      <c r="CQ131" s="493"/>
      <c r="CR131" s="493"/>
      <c r="CS131" s="493"/>
      <c r="CT131" s="493"/>
      <c r="CU131" s="493"/>
      <c r="CV131" s="493"/>
      <c r="CW131" s="493"/>
      <c r="CX131" s="493"/>
      <c r="CY131" s="493"/>
      <c r="CZ131" s="493"/>
      <c r="DA131" s="493"/>
      <c r="DB131" s="493"/>
      <c r="DC131" s="493"/>
      <c r="DD131" s="493"/>
      <c r="DE131" s="493"/>
      <c r="DF131" s="493"/>
      <c r="DG131" s="493"/>
      <c r="DH131" s="493"/>
      <c r="DI131" s="493"/>
      <c r="DJ131" s="493"/>
      <c r="DK131" s="493"/>
      <c r="DL131" s="493"/>
      <c r="DM131" s="493"/>
      <c r="DN131" s="493"/>
      <c r="DO131" s="493"/>
      <c r="DP131" s="493"/>
      <c r="DQ131" s="493"/>
      <c r="DR131" s="493"/>
      <c r="DS131" s="493"/>
      <c r="DT131" s="493"/>
      <c r="DU131" s="493"/>
      <c r="DV131" s="493"/>
      <c r="DW131" s="493"/>
      <c r="DX131" s="493"/>
      <c r="DY131" s="493"/>
      <c r="DZ131" s="493"/>
      <c r="EA131" s="493"/>
      <c r="EB131" s="493"/>
      <c r="EC131" s="493"/>
      <c r="ED131" s="493"/>
      <c r="EE131" s="493"/>
      <c r="EF131" s="493"/>
      <c r="EG131" s="493"/>
      <c r="EH131" s="493"/>
      <c r="EI131" s="493"/>
      <c r="EJ131" s="493"/>
      <c r="EK131" s="493"/>
      <c r="EL131" s="493"/>
      <c r="EM131" s="493"/>
      <c r="EN131" s="493"/>
      <c r="EO131" s="493"/>
      <c r="EP131" s="493"/>
      <c r="EQ131" s="493"/>
      <c r="ER131" s="493"/>
      <c r="ES131" s="493"/>
      <c r="ET131" s="493"/>
      <c r="EU131" s="493"/>
      <c r="EV131" s="493"/>
      <c r="EW131" s="493"/>
      <c r="EX131" s="493"/>
      <c r="EY131" s="493"/>
      <c r="EZ131" s="493"/>
      <c r="FA131" s="493"/>
      <c r="FB131" s="493"/>
      <c r="FC131" s="493"/>
      <c r="FD131" s="493"/>
      <c r="FE131" s="493"/>
      <c r="FF131" s="493"/>
      <c r="FG131" s="493"/>
      <c r="FH131" s="493"/>
      <c r="FI131" s="493"/>
      <c r="FJ131" s="493"/>
      <c r="FK131" s="493"/>
      <c r="FL131" s="493"/>
      <c r="FM131" s="493"/>
      <c r="FN131" s="493"/>
      <c r="FO131" s="493"/>
      <c r="FP131" s="493"/>
      <c r="FQ131" s="493"/>
      <c r="FR131" s="493"/>
      <c r="FS131" s="493"/>
      <c r="FT131" s="493"/>
      <c r="FU131" s="493"/>
      <c r="FV131" s="493"/>
      <c r="FW131" s="493"/>
      <c r="FX131" s="493"/>
      <c r="FY131" s="493"/>
      <c r="FZ131" s="493"/>
      <c r="GA131" s="493"/>
      <c r="GB131" s="493"/>
      <c r="GC131" s="493"/>
      <c r="GD131" s="493"/>
    </row>
    <row r="132" spans="1:186" ht="15" customHeight="1">
      <c r="A132" s="363"/>
      <c r="B132" s="371"/>
      <c r="C132" s="372"/>
      <c r="D132" s="76"/>
      <c r="F132" s="76"/>
      <c r="I132" s="76"/>
      <c r="J132" s="76"/>
      <c r="L132" s="76"/>
      <c r="O132" s="492"/>
      <c r="P132" s="516"/>
      <c r="Q132" s="517"/>
      <c r="R132" s="517"/>
      <c r="S132" s="517"/>
      <c r="T132" s="517"/>
      <c r="U132" s="516"/>
      <c r="V132" s="516"/>
      <c r="W132" s="492"/>
      <c r="X132" s="492"/>
      <c r="Y132" s="492"/>
      <c r="Z132" s="492"/>
      <c r="AA132" s="537"/>
      <c r="AB132" s="537"/>
      <c r="AC132" s="537"/>
      <c r="AD132" s="537"/>
      <c r="AE132" s="492"/>
      <c r="AF132" s="492"/>
      <c r="AG132" s="492"/>
      <c r="AH132" s="493"/>
      <c r="AI132" s="493"/>
      <c r="AJ132" s="493"/>
      <c r="AK132" s="493"/>
      <c r="AL132" s="493"/>
      <c r="AM132" s="493"/>
      <c r="AN132" s="493"/>
      <c r="AO132" s="493"/>
      <c r="AP132" s="493"/>
      <c r="AQ132" s="493"/>
      <c r="AR132" s="493"/>
      <c r="AS132" s="493"/>
      <c r="AT132" s="493"/>
      <c r="AU132" s="493"/>
      <c r="AV132" s="493"/>
      <c r="AW132" s="493"/>
      <c r="AX132" s="493"/>
      <c r="AY132" s="493"/>
      <c r="AZ132" s="493"/>
      <c r="BA132" s="493"/>
      <c r="BB132" s="493"/>
      <c r="BC132" s="493"/>
      <c r="BD132" s="493"/>
      <c r="BE132" s="493"/>
      <c r="BF132" s="493"/>
      <c r="BG132" s="493"/>
      <c r="BH132" s="493"/>
      <c r="BI132" s="493"/>
      <c r="BJ132" s="493"/>
      <c r="BK132" s="493"/>
      <c r="BL132" s="493"/>
      <c r="BM132" s="493"/>
      <c r="BN132" s="493"/>
      <c r="BO132" s="493"/>
      <c r="BP132" s="493"/>
      <c r="BQ132" s="493"/>
      <c r="BR132" s="493"/>
      <c r="BS132" s="493"/>
      <c r="BT132" s="493"/>
      <c r="BU132" s="493"/>
      <c r="BV132" s="493"/>
      <c r="BW132" s="493"/>
      <c r="BX132" s="493"/>
      <c r="BY132" s="493"/>
      <c r="BZ132" s="493"/>
      <c r="CA132" s="493"/>
      <c r="CB132" s="493"/>
      <c r="CC132" s="493"/>
      <c r="CD132" s="493"/>
      <c r="CE132" s="493"/>
      <c r="CF132" s="493"/>
      <c r="CG132" s="493"/>
      <c r="CH132" s="493"/>
      <c r="CI132" s="493"/>
      <c r="CJ132" s="493"/>
      <c r="CK132" s="493"/>
      <c r="CL132" s="493"/>
      <c r="CM132" s="493"/>
      <c r="CN132" s="493"/>
      <c r="CO132" s="493"/>
      <c r="CP132" s="493"/>
      <c r="CQ132" s="493"/>
      <c r="CR132" s="493"/>
      <c r="CS132" s="493"/>
      <c r="CT132" s="493"/>
      <c r="CU132" s="493"/>
      <c r="CV132" s="493"/>
      <c r="CW132" s="493"/>
      <c r="CX132" s="493"/>
      <c r="CY132" s="493"/>
      <c r="CZ132" s="493"/>
      <c r="DA132" s="493"/>
      <c r="DB132" s="493"/>
      <c r="DC132" s="493"/>
      <c r="DD132" s="493"/>
      <c r="DE132" s="493"/>
      <c r="DF132" s="493"/>
      <c r="DG132" s="493"/>
      <c r="DH132" s="493"/>
      <c r="DI132" s="493"/>
      <c r="DJ132" s="493"/>
      <c r="DK132" s="493"/>
      <c r="DL132" s="493"/>
      <c r="DM132" s="493"/>
      <c r="DN132" s="493"/>
      <c r="DO132" s="493"/>
      <c r="DP132" s="493"/>
      <c r="DQ132" s="493"/>
      <c r="DR132" s="493"/>
      <c r="DS132" s="493"/>
      <c r="DT132" s="493"/>
      <c r="DU132" s="493"/>
      <c r="DV132" s="493"/>
      <c r="DW132" s="493"/>
      <c r="DX132" s="493"/>
      <c r="DY132" s="493"/>
      <c r="DZ132" s="493"/>
      <c r="EA132" s="493"/>
      <c r="EB132" s="493"/>
      <c r="EC132" s="493"/>
      <c r="ED132" s="493"/>
      <c r="EE132" s="493"/>
      <c r="EF132" s="493"/>
      <c r="EG132" s="493"/>
      <c r="EH132" s="493"/>
      <c r="EI132" s="493"/>
      <c r="EJ132" s="493"/>
      <c r="EK132" s="493"/>
      <c r="EL132" s="493"/>
      <c r="EM132" s="493"/>
      <c r="EN132" s="493"/>
      <c r="EO132" s="493"/>
      <c r="EP132" s="493"/>
      <c r="EQ132" s="493"/>
      <c r="ER132" s="493"/>
      <c r="ES132" s="493"/>
      <c r="ET132" s="493"/>
      <c r="EU132" s="493"/>
      <c r="EV132" s="493"/>
      <c r="EW132" s="493"/>
      <c r="EX132" s="493"/>
      <c r="EY132" s="493"/>
      <c r="EZ132" s="493"/>
      <c r="FA132" s="493"/>
      <c r="FB132" s="493"/>
      <c r="FC132" s="493"/>
      <c r="FD132" s="493"/>
      <c r="FE132" s="493"/>
      <c r="FF132" s="493"/>
      <c r="FG132" s="493"/>
      <c r="FH132" s="493"/>
      <c r="FI132" s="493"/>
      <c r="FJ132" s="493"/>
      <c r="FK132" s="493"/>
      <c r="FL132" s="493"/>
      <c r="FM132" s="493"/>
      <c r="FN132" s="493"/>
      <c r="FO132" s="493"/>
      <c r="FP132" s="493"/>
      <c r="FQ132" s="493"/>
      <c r="FR132" s="493"/>
      <c r="FS132" s="493"/>
      <c r="FT132" s="493"/>
      <c r="FU132" s="493"/>
      <c r="FV132" s="493"/>
      <c r="FW132" s="493"/>
      <c r="FX132" s="493"/>
      <c r="FY132" s="493"/>
      <c r="FZ132" s="493"/>
      <c r="GA132" s="493"/>
      <c r="GB132" s="493"/>
      <c r="GC132" s="493"/>
      <c r="GD132" s="493"/>
    </row>
    <row r="133" spans="1:186" ht="15" customHeight="1">
      <c r="A133" s="363"/>
      <c r="B133" s="371"/>
      <c r="C133" s="372"/>
      <c r="D133" s="76"/>
      <c r="F133" s="76"/>
      <c r="I133" s="76"/>
      <c r="J133" s="76"/>
      <c r="L133" s="76"/>
      <c r="O133" s="492"/>
      <c r="P133" s="516"/>
      <c r="Q133" s="517"/>
      <c r="R133" s="517"/>
      <c r="S133" s="517"/>
      <c r="T133" s="517"/>
      <c r="U133" s="516"/>
      <c r="V133" s="516"/>
      <c r="W133" s="492"/>
      <c r="X133" s="492"/>
      <c r="Y133" s="492"/>
      <c r="Z133" s="492"/>
      <c r="AA133" s="537"/>
      <c r="AB133" s="537"/>
      <c r="AC133" s="537"/>
      <c r="AD133" s="537"/>
      <c r="AE133" s="492"/>
      <c r="AF133" s="492"/>
      <c r="AG133" s="492"/>
      <c r="AH133" s="493"/>
      <c r="AI133" s="493"/>
      <c r="AJ133" s="493"/>
      <c r="AK133" s="493"/>
      <c r="AL133" s="493"/>
      <c r="AM133" s="493"/>
      <c r="AN133" s="493"/>
      <c r="AO133" s="493"/>
      <c r="AP133" s="493"/>
      <c r="AQ133" s="493"/>
      <c r="AR133" s="493"/>
      <c r="AS133" s="493"/>
      <c r="AT133" s="493"/>
      <c r="AU133" s="493"/>
      <c r="AV133" s="493"/>
      <c r="AW133" s="493"/>
      <c r="AX133" s="493"/>
      <c r="AY133" s="493"/>
      <c r="AZ133" s="493"/>
      <c r="BA133" s="493"/>
      <c r="BB133" s="493"/>
      <c r="BC133" s="493"/>
      <c r="BD133" s="493"/>
      <c r="BE133" s="493"/>
      <c r="BF133" s="493"/>
      <c r="BG133" s="493"/>
      <c r="BH133" s="493"/>
      <c r="BI133" s="493"/>
      <c r="BJ133" s="493"/>
      <c r="BK133" s="493"/>
      <c r="BL133" s="493"/>
      <c r="BM133" s="493"/>
      <c r="BN133" s="493"/>
      <c r="BO133" s="493"/>
      <c r="BP133" s="493"/>
      <c r="BQ133" s="493"/>
      <c r="BR133" s="493"/>
      <c r="BS133" s="493"/>
      <c r="BT133" s="493"/>
      <c r="BU133" s="493"/>
      <c r="BV133" s="493"/>
      <c r="BW133" s="493"/>
      <c r="BX133" s="493"/>
      <c r="BY133" s="493"/>
      <c r="BZ133" s="493"/>
      <c r="CA133" s="493"/>
      <c r="CB133" s="493"/>
      <c r="CC133" s="493"/>
      <c r="CD133" s="493"/>
      <c r="CE133" s="493"/>
      <c r="CF133" s="493"/>
      <c r="CG133" s="493"/>
      <c r="CH133" s="493"/>
      <c r="CI133" s="493"/>
      <c r="CJ133" s="493"/>
      <c r="CK133" s="493"/>
      <c r="CL133" s="493"/>
      <c r="CM133" s="493"/>
      <c r="CN133" s="493"/>
      <c r="CO133" s="493"/>
      <c r="CP133" s="493"/>
      <c r="CQ133" s="493"/>
      <c r="CR133" s="493"/>
      <c r="CS133" s="493"/>
      <c r="CT133" s="493"/>
      <c r="CU133" s="493"/>
      <c r="CV133" s="493"/>
      <c r="CW133" s="493"/>
      <c r="CX133" s="493"/>
      <c r="CY133" s="493"/>
      <c r="CZ133" s="493"/>
      <c r="DA133" s="493"/>
      <c r="DB133" s="493"/>
      <c r="DC133" s="493"/>
      <c r="DD133" s="493"/>
      <c r="DE133" s="493"/>
      <c r="DF133" s="493"/>
      <c r="DG133" s="493"/>
      <c r="DH133" s="493"/>
      <c r="DI133" s="493"/>
      <c r="DJ133" s="493"/>
      <c r="DK133" s="493"/>
      <c r="DL133" s="493"/>
      <c r="DM133" s="493"/>
      <c r="DN133" s="493"/>
      <c r="DO133" s="493"/>
      <c r="DP133" s="493"/>
      <c r="DQ133" s="493"/>
      <c r="DR133" s="493"/>
      <c r="DS133" s="493"/>
      <c r="DT133" s="493"/>
      <c r="DU133" s="493"/>
      <c r="DV133" s="493"/>
      <c r="DW133" s="493"/>
      <c r="DX133" s="493"/>
      <c r="DY133" s="493"/>
      <c r="DZ133" s="493"/>
      <c r="EA133" s="493"/>
      <c r="EB133" s="493"/>
      <c r="EC133" s="493"/>
      <c r="ED133" s="493"/>
      <c r="EE133" s="493"/>
      <c r="EF133" s="493"/>
      <c r="EG133" s="493"/>
      <c r="EH133" s="493"/>
      <c r="EI133" s="493"/>
      <c r="EJ133" s="493"/>
      <c r="EK133" s="493"/>
      <c r="EL133" s="493"/>
      <c r="EM133" s="493"/>
      <c r="EN133" s="493"/>
      <c r="EO133" s="493"/>
      <c r="EP133" s="493"/>
      <c r="EQ133" s="493"/>
      <c r="ER133" s="493"/>
      <c r="ES133" s="493"/>
      <c r="ET133" s="493"/>
      <c r="EU133" s="493"/>
      <c r="EV133" s="493"/>
      <c r="EW133" s="493"/>
      <c r="EX133" s="493"/>
      <c r="EY133" s="493"/>
      <c r="EZ133" s="493"/>
      <c r="FA133" s="493"/>
      <c r="FB133" s="493"/>
      <c r="FC133" s="493"/>
      <c r="FD133" s="493"/>
      <c r="FE133" s="493"/>
      <c r="FF133" s="493"/>
      <c r="FG133" s="493"/>
      <c r="FH133" s="493"/>
      <c r="FI133" s="493"/>
      <c r="FJ133" s="493"/>
      <c r="FK133" s="493"/>
      <c r="FL133" s="493"/>
      <c r="FM133" s="493"/>
      <c r="FN133" s="493"/>
      <c r="FO133" s="493"/>
      <c r="FP133" s="493"/>
      <c r="FQ133" s="493"/>
      <c r="FR133" s="493"/>
      <c r="FS133" s="493"/>
      <c r="FT133" s="493"/>
      <c r="FU133" s="493"/>
      <c r="FV133" s="493"/>
      <c r="FW133" s="493"/>
      <c r="FX133" s="493"/>
      <c r="FY133" s="493"/>
      <c r="FZ133" s="493"/>
      <c r="GA133" s="493"/>
      <c r="GB133" s="493"/>
      <c r="GC133" s="493"/>
      <c r="GD133" s="493"/>
    </row>
    <row r="134" spans="1:186" ht="15" customHeight="1">
      <c r="A134" s="363"/>
      <c r="B134" s="371"/>
      <c r="C134" s="372"/>
      <c r="D134" s="76"/>
      <c r="F134" s="76"/>
      <c r="I134" s="76"/>
      <c r="J134" s="76"/>
      <c r="L134" s="76"/>
      <c r="O134" s="492"/>
      <c r="P134" s="516"/>
      <c r="Q134" s="517"/>
      <c r="R134" s="517"/>
      <c r="S134" s="517"/>
      <c r="T134" s="517"/>
      <c r="U134" s="516"/>
      <c r="V134" s="516"/>
      <c r="W134" s="492"/>
      <c r="X134" s="492"/>
      <c r="Y134" s="492"/>
      <c r="Z134" s="492"/>
      <c r="AA134" s="537"/>
      <c r="AB134" s="537"/>
      <c r="AC134" s="537"/>
      <c r="AD134" s="537"/>
      <c r="AE134" s="492"/>
      <c r="AF134" s="492"/>
      <c r="AG134" s="492"/>
      <c r="AH134" s="493"/>
      <c r="AI134" s="493"/>
      <c r="AJ134" s="493"/>
      <c r="AK134" s="493"/>
      <c r="AL134" s="493"/>
      <c r="AM134" s="493"/>
      <c r="AN134" s="493"/>
      <c r="AO134" s="493"/>
      <c r="AP134" s="493"/>
      <c r="AQ134" s="493"/>
      <c r="AR134" s="493"/>
      <c r="AS134" s="493"/>
      <c r="AT134" s="493"/>
      <c r="AU134" s="493"/>
      <c r="AV134" s="493"/>
      <c r="AW134" s="493"/>
      <c r="AX134" s="493"/>
      <c r="AY134" s="493"/>
      <c r="AZ134" s="493"/>
      <c r="BA134" s="493"/>
      <c r="BB134" s="493"/>
      <c r="BC134" s="493"/>
      <c r="BD134" s="493"/>
      <c r="BE134" s="493"/>
      <c r="BF134" s="493"/>
      <c r="BG134" s="493"/>
      <c r="BH134" s="493"/>
      <c r="BI134" s="493"/>
      <c r="BJ134" s="493"/>
      <c r="BK134" s="493"/>
      <c r="BL134" s="493"/>
      <c r="BM134" s="493"/>
      <c r="BN134" s="493"/>
      <c r="BO134" s="493"/>
      <c r="BP134" s="493"/>
      <c r="BQ134" s="493"/>
      <c r="BR134" s="493"/>
      <c r="BS134" s="493"/>
      <c r="BT134" s="493"/>
      <c r="BU134" s="493"/>
      <c r="BV134" s="493"/>
      <c r="BW134" s="493"/>
      <c r="BX134" s="493"/>
      <c r="BY134" s="493"/>
      <c r="BZ134" s="493"/>
      <c r="CA134" s="493"/>
      <c r="CB134" s="493"/>
      <c r="CC134" s="493"/>
      <c r="CD134" s="493"/>
      <c r="CE134" s="493"/>
      <c r="CF134" s="493"/>
      <c r="CG134" s="493"/>
      <c r="CH134" s="493"/>
      <c r="CI134" s="493"/>
      <c r="CJ134" s="493"/>
      <c r="CK134" s="493"/>
      <c r="CL134" s="493"/>
      <c r="CM134" s="493"/>
      <c r="CN134" s="493"/>
      <c r="CO134" s="493"/>
      <c r="CP134" s="493"/>
      <c r="CQ134" s="493"/>
      <c r="CR134" s="493"/>
      <c r="CS134" s="493"/>
      <c r="CT134" s="493"/>
      <c r="CU134" s="493"/>
      <c r="CV134" s="493"/>
      <c r="CW134" s="493"/>
      <c r="CX134" s="493"/>
      <c r="CY134" s="493"/>
      <c r="CZ134" s="493"/>
      <c r="DA134" s="493"/>
      <c r="DB134" s="493"/>
      <c r="DC134" s="493"/>
      <c r="DD134" s="493"/>
      <c r="DE134" s="493"/>
      <c r="DF134" s="493"/>
      <c r="DG134" s="493"/>
      <c r="DH134" s="493"/>
      <c r="DI134" s="493"/>
      <c r="DJ134" s="493"/>
      <c r="DK134" s="493"/>
      <c r="DL134" s="493"/>
      <c r="DM134" s="493"/>
      <c r="DN134" s="493"/>
      <c r="DO134" s="493"/>
      <c r="DP134" s="493"/>
      <c r="DQ134" s="493"/>
      <c r="DR134" s="493"/>
      <c r="DS134" s="493"/>
      <c r="DT134" s="493"/>
      <c r="DU134" s="493"/>
      <c r="DV134" s="493"/>
      <c r="DW134" s="493"/>
      <c r="DX134" s="493"/>
      <c r="DY134" s="493"/>
      <c r="DZ134" s="493"/>
      <c r="EA134" s="493"/>
      <c r="EB134" s="493"/>
      <c r="EC134" s="493"/>
      <c r="ED134" s="493"/>
      <c r="EE134" s="493"/>
      <c r="EF134" s="493"/>
      <c r="EG134" s="493"/>
      <c r="EH134" s="493"/>
      <c r="EI134" s="493"/>
      <c r="EJ134" s="493"/>
      <c r="EK134" s="493"/>
      <c r="EL134" s="493"/>
      <c r="EM134" s="493"/>
      <c r="EN134" s="493"/>
      <c r="EO134" s="493"/>
      <c r="EP134" s="493"/>
      <c r="EQ134" s="493"/>
      <c r="ER134" s="493"/>
      <c r="ES134" s="493"/>
      <c r="ET134" s="493"/>
      <c r="EU134" s="493"/>
      <c r="EV134" s="493"/>
      <c r="EW134" s="493"/>
      <c r="EX134" s="493"/>
      <c r="EY134" s="493"/>
      <c r="EZ134" s="493"/>
      <c r="FA134" s="493"/>
      <c r="FB134" s="493"/>
      <c r="FC134" s="493"/>
      <c r="FD134" s="493"/>
      <c r="FE134" s="493"/>
      <c r="FF134" s="493"/>
      <c r="FG134" s="493"/>
      <c r="FH134" s="493"/>
      <c r="FI134" s="493"/>
      <c r="FJ134" s="493"/>
      <c r="FK134" s="493"/>
      <c r="FL134" s="493"/>
      <c r="FM134" s="493"/>
      <c r="FN134" s="493"/>
      <c r="FO134" s="493"/>
      <c r="FP134" s="493"/>
      <c r="FQ134" s="493"/>
      <c r="FR134" s="493"/>
      <c r="FS134" s="493"/>
      <c r="FT134" s="493"/>
      <c r="FU134" s="493"/>
      <c r="FV134" s="493"/>
      <c r="FW134" s="493"/>
      <c r="FX134" s="493"/>
      <c r="FY134" s="493"/>
      <c r="FZ134" s="493"/>
      <c r="GA134" s="493"/>
      <c r="GB134" s="493"/>
      <c r="GC134" s="493"/>
      <c r="GD134" s="493"/>
    </row>
    <row r="135" spans="1:186" ht="15" customHeight="1" thickBot="1">
      <c r="A135" s="366"/>
      <c r="B135" s="373"/>
      <c r="C135" s="374"/>
      <c r="D135" s="76"/>
      <c r="F135" s="76"/>
      <c r="I135" s="76"/>
      <c r="J135" s="76"/>
      <c r="L135" s="76"/>
      <c r="O135" s="492"/>
      <c r="P135" s="516"/>
      <c r="Q135" s="517"/>
      <c r="R135" s="517"/>
      <c r="S135" s="517"/>
      <c r="T135" s="517"/>
      <c r="U135" s="516"/>
      <c r="V135" s="516"/>
      <c r="W135" s="492"/>
      <c r="X135" s="492"/>
      <c r="Y135" s="492"/>
      <c r="Z135" s="492"/>
      <c r="AA135" s="537"/>
      <c r="AB135" s="537"/>
      <c r="AC135" s="537"/>
      <c r="AD135" s="537"/>
      <c r="AE135" s="492"/>
      <c r="AF135" s="492"/>
      <c r="AG135" s="492"/>
      <c r="AH135" s="493"/>
      <c r="AI135" s="493"/>
      <c r="AJ135" s="493"/>
      <c r="AK135" s="493"/>
      <c r="AL135" s="493"/>
      <c r="AM135" s="493"/>
      <c r="AN135" s="493"/>
      <c r="AO135" s="493"/>
      <c r="AP135" s="493"/>
      <c r="AQ135" s="493"/>
      <c r="AR135" s="493"/>
      <c r="AS135" s="493"/>
      <c r="AT135" s="493"/>
      <c r="AU135" s="493"/>
      <c r="AV135" s="493"/>
      <c r="AW135" s="493"/>
      <c r="AX135" s="493"/>
      <c r="AY135" s="493"/>
      <c r="AZ135" s="493"/>
      <c r="BA135" s="493"/>
      <c r="BB135" s="493"/>
      <c r="BC135" s="493"/>
      <c r="BD135" s="493"/>
      <c r="BE135" s="493"/>
      <c r="BF135" s="493"/>
      <c r="BG135" s="493"/>
      <c r="BH135" s="493"/>
      <c r="BI135" s="493"/>
      <c r="BJ135" s="493"/>
      <c r="BK135" s="493"/>
      <c r="BL135" s="493"/>
      <c r="BM135" s="493"/>
      <c r="BN135" s="493"/>
      <c r="BO135" s="493"/>
      <c r="BP135" s="493"/>
      <c r="BQ135" s="493"/>
      <c r="BR135" s="493"/>
      <c r="BS135" s="493"/>
      <c r="BT135" s="493"/>
      <c r="BU135" s="493"/>
      <c r="BV135" s="493"/>
      <c r="BW135" s="493"/>
      <c r="BX135" s="493"/>
      <c r="BY135" s="493"/>
      <c r="BZ135" s="493"/>
      <c r="CA135" s="493"/>
      <c r="CB135" s="493"/>
      <c r="CC135" s="493"/>
      <c r="CD135" s="493"/>
      <c r="CE135" s="493"/>
      <c r="CF135" s="493"/>
      <c r="CG135" s="493"/>
      <c r="CH135" s="493"/>
      <c r="CI135" s="493"/>
      <c r="CJ135" s="493"/>
      <c r="CK135" s="493"/>
      <c r="CL135" s="493"/>
      <c r="CM135" s="493"/>
      <c r="CN135" s="493"/>
      <c r="CO135" s="493"/>
      <c r="CP135" s="493"/>
      <c r="CQ135" s="493"/>
      <c r="CR135" s="493"/>
      <c r="CS135" s="493"/>
      <c r="CT135" s="493"/>
      <c r="CU135" s="493"/>
      <c r="CV135" s="493"/>
      <c r="CW135" s="493"/>
      <c r="CX135" s="493"/>
      <c r="CY135" s="493"/>
      <c r="CZ135" s="493"/>
      <c r="DA135" s="493"/>
      <c r="DB135" s="493"/>
      <c r="DC135" s="493"/>
      <c r="DD135" s="493"/>
      <c r="DE135" s="493"/>
      <c r="DF135" s="493"/>
      <c r="DG135" s="493"/>
      <c r="DH135" s="493"/>
      <c r="DI135" s="493"/>
      <c r="DJ135" s="493"/>
      <c r="DK135" s="493"/>
      <c r="DL135" s="493"/>
      <c r="DM135" s="493"/>
      <c r="DN135" s="493"/>
      <c r="DO135" s="493"/>
      <c r="DP135" s="493"/>
      <c r="DQ135" s="493"/>
      <c r="DR135" s="493"/>
      <c r="DS135" s="493"/>
      <c r="DT135" s="493"/>
      <c r="DU135" s="493"/>
      <c r="DV135" s="493"/>
      <c r="DW135" s="493"/>
      <c r="DX135" s="493"/>
      <c r="DY135" s="493"/>
      <c r="DZ135" s="493"/>
      <c r="EA135" s="493"/>
      <c r="EB135" s="493"/>
      <c r="EC135" s="493"/>
      <c r="ED135" s="493"/>
      <c r="EE135" s="493"/>
      <c r="EF135" s="493"/>
      <c r="EG135" s="493"/>
      <c r="EH135" s="493"/>
      <c r="EI135" s="493"/>
      <c r="EJ135" s="493"/>
      <c r="EK135" s="493"/>
      <c r="EL135" s="493"/>
      <c r="EM135" s="493"/>
      <c r="EN135" s="493"/>
      <c r="EO135" s="493"/>
      <c r="EP135" s="493"/>
      <c r="EQ135" s="493"/>
      <c r="ER135" s="493"/>
      <c r="ES135" s="493"/>
      <c r="ET135" s="493"/>
      <c r="EU135" s="493"/>
      <c r="EV135" s="493"/>
      <c r="EW135" s="493"/>
      <c r="EX135" s="493"/>
      <c r="EY135" s="493"/>
      <c r="EZ135" s="493"/>
      <c r="FA135" s="493"/>
      <c r="FB135" s="493"/>
      <c r="FC135" s="493"/>
      <c r="FD135" s="493"/>
      <c r="FE135" s="493"/>
      <c r="FF135" s="493"/>
      <c r="FG135" s="493"/>
      <c r="FH135" s="493"/>
      <c r="FI135" s="493"/>
      <c r="FJ135" s="493"/>
      <c r="FK135" s="493"/>
      <c r="FL135" s="493"/>
      <c r="FM135" s="493"/>
      <c r="FN135" s="493"/>
      <c r="FO135" s="493"/>
      <c r="FP135" s="493"/>
      <c r="FQ135" s="493"/>
      <c r="FR135" s="493"/>
      <c r="FS135" s="493"/>
      <c r="FT135" s="493"/>
      <c r="FU135" s="493"/>
      <c r="FV135" s="493"/>
      <c r="FW135" s="493"/>
      <c r="FX135" s="493"/>
      <c r="FY135" s="493"/>
      <c r="FZ135" s="493"/>
      <c r="GA135" s="493"/>
      <c r="GB135" s="493"/>
      <c r="GC135" s="493"/>
      <c r="GD135" s="493"/>
    </row>
    <row r="136" spans="1:186" ht="15" customHeight="1">
      <c r="A136" s="191">
        <f>MAX(A112,IF(A116="",0,MAX(A116:A135)))</f>
        <v>0</v>
      </c>
      <c r="B136" s="192"/>
      <c r="C136" s="192"/>
      <c r="O136" s="537"/>
      <c r="P136" s="537"/>
      <c r="Q136" s="537"/>
      <c r="R136" s="537"/>
      <c r="S136" s="537"/>
      <c r="T136" s="537"/>
      <c r="U136" s="537"/>
      <c r="V136" s="537"/>
      <c r="W136" s="537"/>
      <c r="X136" s="537"/>
      <c r="Y136" s="537"/>
      <c r="Z136" s="537"/>
      <c r="AA136" s="537"/>
      <c r="AB136" s="537"/>
      <c r="AC136" s="537"/>
      <c r="AD136" s="537"/>
      <c r="AE136" s="492"/>
      <c r="AF136" s="492"/>
      <c r="AG136" s="492"/>
      <c r="AH136" s="493"/>
      <c r="AI136" s="493"/>
      <c r="AJ136" s="493"/>
      <c r="AK136" s="493"/>
      <c r="AL136" s="493"/>
      <c r="AM136" s="493"/>
      <c r="AN136" s="493"/>
      <c r="AO136" s="493"/>
      <c r="AP136" s="493"/>
      <c r="AQ136" s="493"/>
      <c r="AR136" s="493"/>
      <c r="AS136" s="493"/>
      <c r="AT136" s="493"/>
      <c r="AU136" s="493"/>
      <c r="AV136" s="493"/>
      <c r="AW136" s="493"/>
      <c r="AX136" s="493"/>
      <c r="AY136" s="493"/>
      <c r="AZ136" s="493"/>
      <c r="BA136" s="493"/>
      <c r="BB136" s="493"/>
      <c r="BC136" s="493"/>
      <c r="BD136" s="493"/>
      <c r="BE136" s="493"/>
      <c r="BF136" s="493"/>
      <c r="BG136" s="493"/>
      <c r="BH136" s="493"/>
      <c r="BI136" s="493"/>
      <c r="BJ136" s="493"/>
      <c r="BK136" s="493"/>
      <c r="BL136" s="493"/>
      <c r="BM136" s="493"/>
      <c r="BN136" s="493"/>
      <c r="BO136" s="493"/>
      <c r="BP136" s="493"/>
      <c r="BQ136" s="493"/>
      <c r="BR136" s="493"/>
      <c r="BS136" s="493"/>
      <c r="BT136" s="493"/>
      <c r="BU136" s="493"/>
      <c r="BV136" s="493"/>
      <c r="BW136" s="493"/>
      <c r="BX136" s="493"/>
      <c r="BY136" s="493"/>
      <c r="BZ136" s="493"/>
      <c r="CA136" s="493"/>
      <c r="CB136" s="493"/>
      <c r="CC136" s="493"/>
      <c r="CD136" s="493"/>
      <c r="CE136" s="493"/>
      <c r="CF136" s="493"/>
      <c r="CG136" s="493"/>
      <c r="CH136" s="493"/>
      <c r="CI136" s="493"/>
      <c r="CJ136" s="493"/>
      <c r="CK136" s="493"/>
      <c r="CL136" s="493"/>
      <c r="CM136" s="493"/>
      <c r="CN136" s="493"/>
      <c r="CO136" s="493"/>
      <c r="CP136" s="493"/>
      <c r="CQ136" s="493"/>
      <c r="CR136" s="493"/>
      <c r="CS136" s="493"/>
      <c r="CT136" s="493"/>
      <c r="CU136" s="493"/>
      <c r="CV136" s="493"/>
      <c r="CW136" s="493"/>
      <c r="CX136" s="493"/>
      <c r="CY136" s="493"/>
      <c r="CZ136" s="493"/>
      <c r="DA136" s="493"/>
      <c r="DB136" s="493"/>
      <c r="DC136" s="493"/>
      <c r="DD136" s="493"/>
      <c r="DE136" s="493"/>
      <c r="DF136" s="493"/>
      <c r="DG136" s="493"/>
      <c r="DH136" s="493"/>
      <c r="DI136" s="493"/>
      <c r="DJ136" s="493"/>
      <c r="DK136" s="493"/>
      <c r="DL136" s="493"/>
      <c r="DM136" s="493"/>
      <c r="DN136" s="493"/>
      <c r="DO136" s="493"/>
      <c r="DP136" s="493"/>
      <c r="DQ136" s="493"/>
      <c r="DR136" s="493"/>
      <c r="DS136" s="493"/>
      <c r="DT136" s="493"/>
      <c r="DU136" s="493"/>
      <c r="DV136" s="493"/>
      <c r="DW136" s="493"/>
      <c r="DX136" s="493"/>
      <c r="DY136" s="493"/>
      <c r="DZ136" s="493"/>
      <c r="EA136" s="493"/>
      <c r="EB136" s="493"/>
      <c r="EC136" s="493"/>
      <c r="ED136" s="493"/>
      <c r="EE136" s="493"/>
      <c r="EF136" s="493"/>
      <c r="EG136" s="493"/>
      <c r="EH136" s="493"/>
      <c r="EI136" s="493"/>
      <c r="EJ136" s="493"/>
      <c r="EK136" s="493"/>
      <c r="EL136" s="493"/>
      <c r="EM136" s="493"/>
      <c r="EN136" s="493"/>
      <c r="EO136" s="493"/>
      <c r="EP136" s="493"/>
      <c r="EQ136" s="493"/>
      <c r="ER136" s="493"/>
      <c r="ES136" s="493"/>
      <c r="ET136" s="493"/>
      <c r="EU136" s="493"/>
      <c r="EV136" s="493"/>
      <c r="EW136" s="493"/>
      <c r="EX136" s="493"/>
      <c r="EY136" s="493"/>
      <c r="EZ136" s="493"/>
      <c r="FA136" s="493"/>
      <c r="FB136" s="493"/>
      <c r="FC136" s="493"/>
      <c r="FD136" s="493"/>
      <c r="FE136" s="493"/>
      <c r="FF136" s="493"/>
      <c r="FG136" s="493"/>
      <c r="FH136" s="493"/>
      <c r="FI136" s="493"/>
      <c r="FJ136" s="493"/>
      <c r="FK136" s="493"/>
      <c r="FL136" s="493"/>
      <c r="FM136" s="493"/>
      <c r="FN136" s="493"/>
      <c r="FO136" s="493"/>
      <c r="FP136" s="493"/>
      <c r="FQ136" s="493"/>
      <c r="FR136" s="493"/>
      <c r="FS136" s="493"/>
      <c r="FT136" s="493"/>
      <c r="FU136" s="493"/>
      <c r="FV136" s="493"/>
      <c r="FW136" s="493"/>
      <c r="FX136" s="493"/>
      <c r="FY136" s="493"/>
      <c r="FZ136" s="493"/>
      <c r="GA136" s="493"/>
      <c r="GB136" s="493"/>
      <c r="GC136" s="493"/>
      <c r="GD136" s="493"/>
    </row>
    <row r="137" spans="1:186" ht="15" customHeight="1" thickBot="1">
      <c r="O137" s="492"/>
      <c r="P137" s="492"/>
      <c r="Q137" s="492"/>
      <c r="R137" s="492"/>
      <c r="S137" s="492"/>
      <c r="T137" s="492"/>
      <c r="U137" s="492"/>
      <c r="V137" s="492"/>
      <c r="W137" s="492"/>
      <c r="X137" s="492"/>
      <c r="Y137" s="492"/>
      <c r="Z137" s="492"/>
      <c r="AA137" s="492"/>
      <c r="AB137" s="492"/>
      <c r="AC137" s="492"/>
      <c r="AD137" s="492"/>
      <c r="AE137" s="492"/>
      <c r="AF137" s="492"/>
      <c r="AG137" s="492"/>
      <c r="AH137" s="493"/>
      <c r="AI137" s="493"/>
      <c r="AJ137" s="493"/>
      <c r="AK137" s="493"/>
      <c r="AL137" s="493"/>
      <c r="AM137" s="493"/>
      <c r="AN137" s="493"/>
      <c r="AO137" s="493"/>
      <c r="AP137" s="493"/>
      <c r="AQ137" s="493"/>
      <c r="AR137" s="493"/>
      <c r="AS137" s="493"/>
      <c r="AT137" s="493"/>
      <c r="AU137" s="493"/>
      <c r="AV137" s="493"/>
      <c r="AW137" s="493"/>
      <c r="AX137" s="493"/>
      <c r="AY137" s="493"/>
      <c r="AZ137" s="493"/>
      <c r="BA137" s="493"/>
      <c r="BB137" s="493"/>
      <c r="BC137" s="493"/>
      <c r="BD137" s="493"/>
      <c r="BE137" s="493"/>
      <c r="BF137" s="493"/>
      <c r="BG137" s="493"/>
      <c r="BH137" s="493"/>
      <c r="BI137" s="493"/>
      <c r="BJ137" s="493"/>
      <c r="BK137" s="493"/>
      <c r="BL137" s="493"/>
      <c r="BM137" s="493"/>
      <c r="BN137" s="493"/>
      <c r="BO137" s="493"/>
      <c r="BP137" s="493"/>
      <c r="BQ137" s="493"/>
      <c r="BR137" s="493"/>
      <c r="BS137" s="493"/>
      <c r="BT137" s="493"/>
      <c r="BU137" s="493"/>
      <c r="BV137" s="493"/>
      <c r="BW137" s="493"/>
      <c r="BX137" s="493"/>
      <c r="BY137" s="493"/>
      <c r="BZ137" s="493"/>
      <c r="CA137" s="493"/>
      <c r="CB137" s="493"/>
      <c r="CC137" s="493"/>
      <c r="CD137" s="493"/>
      <c r="CE137" s="493"/>
      <c r="CF137" s="493"/>
      <c r="CG137" s="493"/>
      <c r="CH137" s="493"/>
      <c r="CI137" s="493"/>
      <c r="CJ137" s="493"/>
      <c r="CK137" s="493"/>
      <c r="CL137" s="493"/>
      <c r="CM137" s="493"/>
      <c r="CN137" s="493"/>
      <c r="CO137" s="493"/>
      <c r="CP137" s="493"/>
      <c r="CQ137" s="493"/>
      <c r="CR137" s="493"/>
      <c r="CS137" s="493"/>
      <c r="CT137" s="493"/>
      <c r="CU137" s="493"/>
      <c r="CV137" s="493"/>
      <c r="CW137" s="493"/>
      <c r="CX137" s="493"/>
      <c r="CY137" s="493"/>
      <c r="CZ137" s="493"/>
      <c r="DA137" s="493"/>
      <c r="DB137" s="493"/>
      <c r="DC137" s="493"/>
      <c r="DD137" s="493"/>
      <c r="DE137" s="493"/>
      <c r="DF137" s="493"/>
      <c r="DG137" s="493"/>
      <c r="DH137" s="493"/>
      <c r="DI137" s="493"/>
      <c r="DJ137" s="493"/>
      <c r="DK137" s="493"/>
      <c r="DL137" s="493"/>
      <c r="DM137" s="493"/>
      <c r="DN137" s="493"/>
      <c r="DO137" s="493"/>
      <c r="DP137" s="493"/>
      <c r="DQ137" s="493"/>
      <c r="DR137" s="493"/>
      <c r="DS137" s="493"/>
      <c r="DT137" s="493"/>
      <c r="DU137" s="493"/>
      <c r="DV137" s="493"/>
      <c r="DW137" s="493"/>
      <c r="DX137" s="493"/>
      <c r="DY137" s="493"/>
      <c r="DZ137" s="493"/>
      <c r="EA137" s="493"/>
      <c r="EB137" s="493"/>
      <c r="EC137" s="493"/>
      <c r="ED137" s="493"/>
      <c r="EE137" s="493"/>
      <c r="EF137" s="493"/>
      <c r="EG137" s="493"/>
      <c r="EH137" s="493"/>
      <c r="EI137" s="493"/>
      <c r="EJ137" s="493"/>
      <c r="EK137" s="493"/>
      <c r="EL137" s="493"/>
      <c r="EM137" s="493"/>
      <c r="EN137" s="493"/>
      <c r="EO137" s="493"/>
      <c r="EP137" s="493"/>
      <c r="EQ137" s="493"/>
      <c r="ER137" s="493"/>
      <c r="ES137" s="493"/>
      <c r="ET137" s="493"/>
      <c r="EU137" s="493"/>
      <c r="EV137" s="493"/>
      <c r="EW137" s="493"/>
      <c r="EX137" s="493"/>
      <c r="EY137" s="493"/>
      <c r="EZ137" s="493"/>
      <c r="FA137" s="493"/>
      <c r="FB137" s="493"/>
      <c r="FC137" s="493"/>
      <c r="FD137" s="493"/>
      <c r="FE137" s="493"/>
      <c r="FF137" s="493"/>
      <c r="FG137" s="493"/>
      <c r="FH137" s="493"/>
      <c r="FI137" s="493"/>
      <c r="FJ137" s="493"/>
      <c r="FK137" s="493"/>
      <c r="FL137" s="493"/>
      <c r="FM137" s="493"/>
      <c r="FN137" s="493"/>
      <c r="FO137" s="493"/>
      <c r="FP137" s="493"/>
      <c r="FQ137" s="493"/>
      <c r="FR137" s="493"/>
      <c r="FS137" s="493"/>
      <c r="FT137" s="493"/>
      <c r="FU137" s="493"/>
      <c r="FV137" s="493"/>
      <c r="FW137" s="493"/>
      <c r="FX137" s="493"/>
      <c r="FY137" s="493"/>
      <c r="FZ137" s="493"/>
      <c r="GA137" s="493"/>
      <c r="GB137" s="493"/>
      <c r="GC137" s="493"/>
      <c r="GD137" s="493"/>
    </row>
    <row r="138" spans="1:186" ht="20.100000000000001" customHeight="1">
      <c r="A138" s="66"/>
      <c r="B138" s="67"/>
      <c r="C138" s="68"/>
      <c r="D138" s="171"/>
      <c r="E138" s="171"/>
      <c r="F138" s="171"/>
      <c r="G138" s="171"/>
      <c r="H138" s="171"/>
      <c r="I138" s="171"/>
      <c r="J138" s="172"/>
      <c r="K138" s="171"/>
      <c r="L138" s="173"/>
      <c r="M138" s="587"/>
      <c r="N138" s="588"/>
      <c r="O138" s="492"/>
      <c r="P138" s="492"/>
      <c r="Q138" s="492"/>
      <c r="R138" s="492"/>
      <c r="S138" s="492"/>
      <c r="T138" s="492"/>
      <c r="U138" s="492"/>
      <c r="V138" s="492"/>
      <c r="W138" s="492"/>
      <c r="X138" s="492"/>
      <c r="Y138" s="492"/>
      <c r="Z138" s="492"/>
      <c r="AA138" s="492"/>
      <c r="AB138" s="492"/>
      <c r="AC138" s="492"/>
      <c r="AD138" s="492"/>
      <c r="AE138" s="492"/>
      <c r="AF138" s="492"/>
      <c r="AG138" s="492"/>
      <c r="AH138" s="493"/>
      <c r="AI138" s="493"/>
      <c r="AJ138" s="493"/>
      <c r="AK138" s="493"/>
      <c r="AL138" s="493"/>
      <c r="AM138" s="493"/>
      <c r="AN138" s="493"/>
      <c r="AO138" s="493"/>
      <c r="AP138" s="493"/>
      <c r="AQ138" s="493"/>
      <c r="AR138" s="493"/>
      <c r="AS138" s="493"/>
      <c r="AT138" s="493"/>
      <c r="AU138" s="493"/>
      <c r="AV138" s="493"/>
      <c r="AW138" s="493"/>
      <c r="AX138" s="493"/>
      <c r="AY138" s="493"/>
      <c r="AZ138" s="493"/>
      <c r="BA138" s="493"/>
      <c r="BB138" s="493"/>
      <c r="BC138" s="493"/>
      <c r="BD138" s="493"/>
      <c r="BE138" s="493"/>
      <c r="BF138" s="493"/>
      <c r="BG138" s="493"/>
      <c r="BH138" s="493"/>
      <c r="BI138" s="493"/>
      <c r="BJ138" s="493"/>
      <c r="BK138" s="493"/>
      <c r="BL138" s="493"/>
      <c r="BM138" s="493"/>
      <c r="BN138" s="493"/>
      <c r="BO138" s="493"/>
      <c r="BP138" s="493"/>
      <c r="BQ138" s="493"/>
      <c r="BR138" s="493"/>
      <c r="BS138" s="493"/>
      <c r="BT138" s="493"/>
      <c r="BU138" s="493"/>
      <c r="BV138" s="493"/>
      <c r="BW138" s="493"/>
      <c r="BX138" s="493"/>
      <c r="BY138" s="493"/>
      <c r="BZ138" s="493"/>
      <c r="CA138" s="493"/>
      <c r="CB138" s="493"/>
      <c r="CC138" s="493"/>
      <c r="CD138" s="493"/>
      <c r="CE138" s="493"/>
      <c r="CF138" s="493"/>
      <c r="CG138" s="493"/>
      <c r="CH138" s="493"/>
      <c r="CI138" s="493"/>
      <c r="CJ138" s="493"/>
      <c r="CK138" s="493"/>
      <c r="CL138" s="493"/>
      <c r="CM138" s="493"/>
      <c r="CN138" s="493"/>
      <c r="CO138" s="493"/>
      <c r="CP138" s="493"/>
      <c r="CQ138" s="493"/>
      <c r="CR138" s="493"/>
      <c r="CS138" s="493"/>
      <c r="CT138" s="493"/>
      <c r="CU138" s="493"/>
      <c r="CV138" s="493"/>
      <c r="CW138" s="493"/>
      <c r="CX138" s="493"/>
      <c r="CY138" s="493"/>
      <c r="CZ138" s="493"/>
      <c r="DA138" s="493"/>
      <c r="DB138" s="493"/>
      <c r="DC138" s="493"/>
      <c r="DD138" s="493"/>
      <c r="DE138" s="493"/>
      <c r="DF138" s="493"/>
      <c r="DG138" s="493"/>
      <c r="DH138" s="493"/>
      <c r="DI138" s="493"/>
      <c r="DJ138" s="493"/>
      <c r="DK138" s="493"/>
      <c r="DL138" s="493"/>
      <c r="DM138" s="493"/>
      <c r="DN138" s="493"/>
      <c r="DO138" s="493"/>
      <c r="DP138" s="493"/>
      <c r="DQ138" s="493"/>
      <c r="DR138" s="493"/>
      <c r="DS138" s="493"/>
      <c r="DT138" s="493"/>
      <c r="DU138" s="493"/>
      <c r="DV138" s="493"/>
      <c r="DW138" s="493"/>
      <c r="DX138" s="493"/>
      <c r="DY138" s="493"/>
      <c r="DZ138" s="493"/>
      <c r="EA138" s="493"/>
      <c r="EB138" s="493"/>
      <c r="EC138" s="493"/>
      <c r="ED138" s="493"/>
      <c r="EE138" s="493"/>
      <c r="EF138" s="493"/>
      <c r="EG138" s="493"/>
      <c r="EH138" s="493"/>
      <c r="EI138" s="493"/>
      <c r="EJ138" s="493"/>
      <c r="EK138" s="493"/>
      <c r="EL138" s="493"/>
      <c r="EM138" s="493"/>
      <c r="EN138" s="493"/>
      <c r="EO138" s="493"/>
      <c r="EP138" s="493"/>
      <c r="EQ138" s="493"/>
      <c r="ER138" s="493"/>
      <c r="ES138" s="493"/>
      <c r="ET138" s="493"/>
      <c r="EU138" s="493"/>
      <c r="EV138" s="493"/>
      <c r="EW138" s="493"/>
      <c r="EX138" s="493"/>
      <c r="EY138" s="493"/>
      <c r="EZ138" s="493"/>
      <c r="FA138" s="493"/>
      <c r="FB138" s="493"/>
      <c r="FC138" s="493"/>
      <c r="FD138" s="493"/>
      <c r="FE138" s="493"/>
      <c r="FF138" s="493"/>
      <c r="FG138" s="493"/>
      <c r="FH138" s="493"/>
      <c r="FI138" s="493"/>
      <c r="FJ138" s="493"/>
      <c r="FK138" s="493"/>
      <c r="FL138" s="493"/>
      <c r="FM138" s="493"/>
      <c r="FN138" s="493"/>
      <c r="FO138" s="493"/>
      <c r="FP138" s="493"/>
      <c r="FQ138" s="493"/>
      <c r="FR138" s="493"/>
      <c r="FS138" s="493"/>
      <c r="FT138" s="493"/>
      <c r="FU138" s="493"/>
      <c r="FV138" s="493"/>
      <c r="FW138" s="493"/>
      <c r="FX138" s="493"/>
      <c r="FY138" s="493"/>
      <c r="FZ138" s="493"/>
      <c r="GA138" s="493"/>
      <c r="GB138" s="493"/>
      <c r="GC138" s="493"/>
      <c r="GD138" s="493"/>
    </row>
    <row r="139" spans="1:186" ht="20.100000000000001" customHeight="1">
      <c r="A139" s="77"/>
      <c r="C139" s="78"/>
      <c r="D139" s="589" t="str">
        <f>D76</f>
        <v>MAC QT 160 P</v>
      </c>
      <c r="E139" s="590"/>
      <c r="F139" s="590"/>
      <c r="G139" s="590"/>
      <c r="H139" s="590"/>
      <c r="I139" s="590"/>
      <c r="J139" s="590"/>
      <c r="K139" s="591"/>
      <c r="L139" s="174"/>
      <c r="M139" s="592"/>
      <c r="N139" s="593"/>
      <c r="O139" s="492"/>
      <c r="P139" s="492"/>
      <c r="Q139" s="492"/>
      <c r="R139" s="492"/>
      <c r="S139" s="492"/>
      <c r="T139" s="492"/>
      <c r="U139" s="492"/>
      <c r="V139" s="492"/>
      <c r="W139" s="492"/>
      <c r="X139" s="492"/>
      <c r="Y139" s="492"/>
      <c r="Z139" s="492"/>
      <c r="AA139" s="492"/>
      <c r="AB139" s="492"/>
      <c r="AC139" s="492"/>
      <c r="AD139" s="492"/>
      <c r="AE139" s="492"/>
      <c r="AF139" s="492"/>
      <c r="AG139" s="492"/>
      <c r="AH139" s="493"/>
      <c r="AI139" s="493"/>
      <c r="AJ139" s="493"/>
      <c r="AK139" s="493"/>
      <c r="AL139" s="493"/>
      <c r="AM139" s="493"/>
      <c r="AN139" s="493"/>
      <c r="AO139" s="493"/>
      <c r="AP139" s="493"/>
      <c r="AQ139" s="493"/>
      <c r="AR139" s="493"/>
      <c r="AS139" s="493"/>
      <c r="AT139" s="493"/>
      <c r="AU139" s="493"/>
      <c r="AV139" s="493"/>
      <c r="AW139" s="493"/>
      <c r="AX139" s="493"/>
      <c r="AY139" s="493"/>
      <c r="AZ139" s="493"/>
      <c r="BA139" s="493"/>
      <c r="BB139" s="493"/>
      <c r="BC139" s="493"/>
      <c r="BD139" s="493"/>
      <c r="BE139" s="493"/>
      <c r="BF139" s="493"/>
      <c r="BG139" s="493"/>
      <c r="BH139" s="493"/>
      <c r="BI139" s="493"/>
      <c r="BJ139" s="493"/>
      <c r="BK139" s="493"/>
      <c r="BL139" s="493"/>
      <c r="BM139" s="493"/>
      <c r="BN139" s="493"/>
      <c r="BO139" s="493"/>
      <c r="BP139" s="493"/>
      <c r="BQ139" s="493"/>
      <c r="BR139" s="493"/>
      <c r="BS139" s="493"/>
      <c r="BT139" s="493"/>
      <c r="BU139" s="493"/>
      <c r="BV139" s="493"/>
      <c r="BW139" s="493"/>
      <c r="BX139" s="493"/>
      <c r="BY139" s="493"/>
      <c r="BZ139" s="493"/>
      <c r="CA139" s="493"/>
      <c r="CB139" s="493"/>
      <c r="CC139" s="493"/>
      <c r="CD139" s="493"/>
      <c r="CE139" s="493"/>
      <c r="CF139" s="493"/>
      <c r="CG139" s="493"/>
      <c r="CH139" s="493"/>
      <c r="CI139" s="493"/>
      <c r="CJ139" s="493"/>
      <c r="CK139" s="493"/>
      <c r="CL139" s="493"/>
      <c r="CM139" s="493"/>
      <c r="CN139" s="493"/>
      <c r="CO139" s="493"/>
      <c r="CP139" s="493"/>
      <c r="CQ139" s="493"/>
      <c r="CR139" s="493"/>
      <c r="CS139" s="493"/>
      <c r="CT139" s="493"/>
      <c r="CU139" s="493"/>
      <c r="CV139" s="493"/>
      <c r="CW139" s="493"/>
      <c r="CX139" s="493"/>
      <c r="CY139" s="493"/>
      <c r="CZ139" s="493"/>
      <c r="DA139" s="493"/>
      <c r="DB139" s="493"/>
      <c r="DC139" s="493"/>
      <c r="DD139" s="493"/>
      <c r="DE139" s="493"/>
      <c r="DF139" s="493"/>
      <c r="DG139" s="493"/>
      <c r="DH139" s="493"/>
      <c r="DI139" s="493"/>
      <c r="DJ139" s="493"/>
      <c r="DK139" s="493"/>
      <c r="DL139" s="493"/>
      <c r="DM139" s="493"/>
      <c r="DN139" s="493"/>
      <c r="DO139" s="493"/>
      <c r="DP139" s="493"/>
      <c r="DQ139" s="493"/>
      <c r="DR139" s="493"/>
      <c r="DS139" s="493"/>
      <c r="DT139" s="493"/>
      <c r="DU139" s="493"/>
      <c r="DV139" s="493"/>
      <c r="DW139" s="493"/>
      <c r="DX139" s="493"/>
      <c r="DY139" s="493"/>
      <c r="DZ139" s="493"/>
      <c r="EA139" s="493"/>
      <c r="EB139" s="493"/>
      <c r="EC139" s="493"/>
      <c r="ED139" s="493"/>
      <c r="EE139" s="493"/>
      <c r="EF139" s="493"/>
      <c r="EG139" s="493"/>
      <c r="EH139" s="493"/>
      <c r="EI139" s="493"/>
      <c r="EJ139" s="493"/>
      <c r="EK139" s="493"/>
      <c r="EL139" s="493"/>
      <c r="EM139" s="493"/>
      <c r="EN139" s="493"/>
      <c r="EO139" s="493"/>
      <c r="EP139" s="493"/>
      <c r="EQ139" s="493"/>
      <c r="ER139" s="493"/>
      <c r="ES139" s="493"/>
      <c r="ET139" s="493"/>
      <c r="EU139" s="493"/>
      <c r="EV139" s="493"/>
      <c r="EW139" s="493"/>
      <c r="EX139" s="493"/>
      <c r="EY139" s="493"/>
      <c r="EZ139" s="493"/>
      <c r="FA139" s="493"/>
      <c r="FB139" s="493"/>
      <c r="FC139" s="493"/>
      <c r="FD139" s="493"/>
      <c r="FE139" s="493"/>
      <c r="FF139" s="493"/>
      <c r="FG139" s="493"/>
      <c r="FH139" s="493"/>
      <c r="FI139" s="493"/>
      <c r="FJ139" s="493"/>
      <c r="FK139" s="493"/>
      <c r="FL139" s="493"/>
      <c r="FM139" s="493"/>
      <c r="FN139" s="493"/>
      <c r="FO139" s="493"/>
      <c r="FP139" s="493"/>
      <c r="FQ139" s="493"/>
      <c r="FR139" s="493"/>
      <c r="FS139" s="493"/>
      <c r="FT139" s="493"/>
      <c r="FU139" s="493"/>
      <c r="FV139" s="493"/>
      <c r="FW139" s="493"/>
      <c r="FX139" s="493"/>
      <c r="FY139" s="493"/>
      <c r="FZ139" s="493"/>
      <c r="GA139" s="493"/>
      <c r="GB139" s="493"/>
      <c r="GC139" s="493"/>
      <c r="GD139" s="493"/>
    </row>
    <row r="140" spans="1:186" ht="20.100000000000001" customHeight="1">
      <c r="A140" s="77"/>
      <c r="C140" s="78"/>
      <c r="D140" s="594" t="s">
        <v>120</v>
      </c>
      <c r="E140" s="595"/>
      <c r="F140" s="595"/>
      <c r="G140" s="595"/>
      <c r="H140" s="595"/>
      <c r="I140" s="595"/>
      <c r="J140" s="595"/>
      <c r="K140" s="596"/>
      <c r="L140" s="174" t="s">
        <v>105</v>
      </c>
      <c r="M140" s="597" t="s">
        <v>121</v>
      </c>
      <c r="N140" s="593"/>
      <c r="O140" s="492"/>
      <c r="P140" s="492"/>
      <c r="Q140" s="492"/>
      <c r="R140" s="492"/>
      <c r="S140" s="492"/>
      <c r="T140" s="492"/>
      <c r="U140" s="492"/>
      <c r="V140" s="492"/>
      <c r="W140" s="492"/>
      <c r="X140" s="492"/>
      <c r="Y140" s="492"/>
      <c r="Z140" s="492"/>
      <c r="AA140" s="492"/>
      <c r="AB140" s="492"/>
      <c r="AC140" s="492"/>
      <c r="AD140" s="492"/>
      <c r="AE140" s="492"/>
      <c r="AF140" s="492"/>
      <c r="AG140" s="492"/>
      <c r="AH140" s="493"/>
      <c r="AI140" s="493"/>
      <c r="AJ140" s="493"/>
      <c r="AK140" s="493"/>
      <c r="AL140" s="493"/>
      <c r="AM140" s="493"/>
      <c r="AN140" s="493"/>
      <c r="AO140" s="493"/>
      <c r="AP140" s="493"/>
      <c r="AQ140" s="493"/>
      <c r="AR140" s="493"/>
      <c r="AS140" s="493"/>
      <c r="AT140" s="493"/>
      <c r="AU140" s="493"/>
      <c r="AV140" s="493"/>
      <c r="AW140" s="493"/>
      <c r="AX140" s="493"/>
      <c r="AY140" s="493"/>
      <c r="AZ140" s="493"/>
      <c r="BA140" s="493"/>
      <c r="BB140" s="493"/>
      <c r="BC140" s="493"/>
      <c r="BD140" s="493"/>
      <c r="BE140" s="493"/>
      <c r="BF140" s="493"/>
      <c r="BG140" s="493"/>
      <c r="BH140" s="493"/>
      <c r="BI140" s="493"/>
      <c r="BJ140" s="493"/>
      <c r="BK140" s="493"/>
      <c r="BL140" s="493"/>
      <c r="BM140" s="493"/>
      <c r="BN140" s="493"/>
      <c r="BO140" s="493"/>
      <c r="BP140" s="493"/>
      <c r="BQ140" s="493"/>
      <c r="BR140" s="493"/>
      <c r="BS140" s="493"/>
      <c r="BT140" s="493"/>
      <c r="BU140" s="493"/>
      <c r="BV140" s="493"/>
      <c r="BW140" s="493"/>
      <c r="BX140" s="493"/>
      <c r="BY140" s="493"/>
      <c r="BZ140" s="493"/>
      <c r="CA140" s="493"/>
      <c r="CB140" s="493"/>
      <c r="CC140" s="493"/>
      <c r="CD140" s="493"/>
      <c r="CE140" s="493"/>
      <c r="CF140" s="493"/>
      <c r="CG140" s="493"/>
      <c r="CH140" s="493"/>
      <c r="CI140" s="493"/>
      <c r="CJ140" s="493"/>
      <c r="CK140" s="493"/>
      <c r="CL140" s="493"/>
      <c r="CM140" s="493"/>
      <c r="CN140" s="493"/>
      <c r="CO140" s="493"/>
      <c r="CP140" s="493"/>
      <c r="CQ140" s="493"/>
      <c r="CR140" s="493"/>
      <c r="CS140" s="493"/>
      <c r="CT140" s="493"/>
      <c r="CU140" s="493"/>
      <c r="CV140" s="493"/>
      <c r="CW140" s="493"/>
      <c r="CX140" s="493"/>
      <c r="CY140" s="493"/>
      <c r="CZ140" s="493"/>
      <c r="DA140" s="493"/>
      <c r="DB140" s="493"/>
      <c r="DC140" s="493"/>
      <c r="DD140" s="493"/>
      <c r="DE140" s="493"/>
      <c r="DF140" s="493"/>
      <c r="DG140" s="493"/>
      <c r="DH140" s="493"/>
      <c r="DI140" s="493"/>
      <c r="DJ140" s="493"/>
      <c r="DK140" s="493"/>
      <c r="DL140" s="493"/>
      <c r="DM140" s="493"/>
      <c r="DN140" s="493"/>
      <c r="DO140" s="493"/>
      <c r="DP140" s="493"/>
      <c r="DQ140" s="493"/>
      <c r="DR140" s="493"/>
      <c r="DS140" s="493"/>
      <c r="DT140" s="493"/>
      <c r="DU140" s="493"/>
      <c r="DV140" s="493"/>
      <c r="DW140" s="493"/>
      <c r="DX140" s="493"/>
      <c r="DY140" s="493"/>
      <c r="DZ140" s="493"/>
      <c r="EA140" s="493"/>
      <c r="EB140" s="493"/>
      <c r="EC140" s="493"/>
      <c r="ED140" s="493"/>
      <c r="EE140" s="493"/>
      <c r="EF140" s="493"/>
      <c r="EG140" s="493"/>
      <c r="EH140" s="493"/>
      <c r="EI140" s="493"/>
      <c r="EJ140" s="493"/>
      <c r="EK140" s="493"/>
      <c r="EL140" s="493"/>
      <c r="EM140" s="493"/>
      <c r="EN140" s="493"/>
      <c r="EO140" s="493"/>
      <c r="EP140" s="493"/>
      <c r="EQ140" s="493"/>
      <c r="ER140" s="493"/>
      <c r="ES140" s="493"/>
      <c r="ET140" s="493"/>
      <c r="EU140" s="493"/>
      <c r="EV140" s="493"/>
      <c r="EW140" s="493"/>
      <c r="EX140" s="493"/>
      <c r="EY140" s="493"/>
      <c r="EZ140" s="493"/>
      <c r="FA140" s="493"/>
      <c r="FB140" s="493"/>
      <c r="FC140" s="493"/>
      <c r="FD140" s="493"/>
      <c r="FE140" s="493"/>
      <c r="FF140" s="493"/>
      <c r="FG140" s="493"/>
      <c r="FH140" s="493"/>
      <c r="FI140" s="493"/>
      <c r="FJ140" s="493"/>
      <c r="FK140" s="493"/>
      <c r="FL140" s="493"/>
      <c r="FM140" s="493"/>
      <c r="FN140" s="493"/>
      <c r="FO140" s="493"/>
      <c r="FP140" s="493"/>
      <c r="FQ140" s="493"/>
      <c r="FR140" s="493"/>
      <c r="FS140" s="493"/>
      <c r="FT140" s="493"/>
      <c r="FU140" s="493"/>
      <c r="FV140" s="493"/>
      <c r="FW140" s="493"/>
      <c r="FX140" s="493"/>
      <c r="FY140" s="493"/>
      <c r="FZ140" s="493"/>
      <c r="GA140" s="493"/>
      <c r="GB140" s="493"/>
      <c r="GC140" s="493"/>
      <c r="GD140" s="493"/>
    </row>
    <row r="141" spans="1:186" ht="20.100000000000001" customHeight="1">
      <c r="A141" s="77"/>
      <c r="C141" s="78"/>
      <c r="D141" s="572" t="s">
        <v>122</v>
      </c>
      <c r="E141" s="573"/>
      <c r="F141" s="573"/>
      <c r="G141" s="573"/>
      <c r="H141" s="573"/>
      <c r="I141" s="573"/>
      <c r="J141" s="573"/>
      <c r="K141" s="574"/>
      <c r="L141" s="174" t="s">
        <v>13</v>
      </c>
      <c r="M141" s="575">
        <f>M78</f>
        <v>45239</v>
      </c>
      <c r="N141" s="576"/>
      <c r="O141" s="492"/>
      <c r="P141" s="492"/>
      <c r="Q141" s="492"/>
      <c r="R141" s="492"/>
      <c r="S141" s="492"/>
      <c r="T141" s="492"/>
      <c r="U141" s="492"/>
      <c r="V141" s="492"/>
      <c r="W141" s="492"/>
      <c r="X141" s="492"/>
      <c r="Y141" s="492"/>
      <c r="Z141" s="492"/>
      <c r="AA141" s="492"/>
      <c r="AB141" s="492"/>
      <c r="AC141" s="492"/>
      <c r="AD141" s="492"/>
      <c r="AE141" s="492"/>
      <c r="AF141" s="492"/>
      <c r="AG141" s="492"/>
      <c r="AH141" s="493"/>
      <c r="AI141" s="493"/>
      <c r="AJ141" s="493"/>
      <c r="AK141" s="493"/>
      <c r="AL141" s="493"/>
      <c r="AM141" s="493"/>
      <c r="AN141" s="493"/>
      <c r="AO141" s="493"/>
      <c r="AP141" s="493"/>
      <c r="AQ141" s="493"/>
      <c r="AR141" s="493"/>
      <c r="AS141" s="493"/>
      <c r="AT141" s="493"/>
      <c r="AU141" s="493"/>
      <c r="AV141" s="493"/>
      <c r="AW141" s="493"/>
      <c r="AX141" s="493"/>
      <c r="AY141" s="493"/>
      <c r="AZ141" s="493"/>
      <c r="BA141" s="493"/>
      <c r="BB141" s="493"/>
      <c r="BC141" s="493"/>
      <c r="BD141" s="493"/>
      <c r="BE141" s="493"/>
      <c r="BF141" s="493"/>
      <c r="BG141" s="493"/>
      <c r="BH141" s="493"/>
      <c r="BI141" s="493"/>
      <c r="BJ141" s="493"/>
      <c r="BK141" s="493"/>
      <c r="BL141" s="493"/>
      <c r="BM141" s="493"/>
      <c r="BN141" s="493"/>
      <c r="BO141" s="493"/>
      <c r="BP141" s="493"/>
      <c r="BQ141" s="493"/>
      <c r="BR141" s="493"/>
      <c r="BS141" s="493"/>
      <c r="BT141" s="493"/>
      <c r="BU141" s="493"/>
      <c r="BV141" s="493"/>
      <c r="BW141" s="493"/>
      <c r="BX141" s="493"/>
      <c r="BY141" s="493"/>
      <c r="BZ141" s="493"/>
      <c r="CA141" s="493"/>
      <c r="CB141" s="493"/>
      <c r="CC141" s="493"/>
      <c r="CD141" s="493"/>
      <c r="CE141" s="493"/>
      <c r="CF141" s="493"/>
      <c r="CG141" s="493"/>
      <c r="CH141" s="493"/>
      <c r="CI141" s="493"/>
      <c r="CJ141" s="493"/>
      <c r="CK141" s="493"/>
      <c r="CL141" s="493"/>
      <c r="CM141" s="493"/>
      <c r="CN141" s="493"/>
      <c r="CO141" s="493"/>
      <c r="CP141" s="493"/>
      <c r="CQ141" s="493"/>
      <c r="CR141" s="493"/>
      <c r="CS141" s="493"/>
      <c r="CT141" s="493"/>
      <c r="CU141" s="493"/>
      <c r="CV141" s="493"/>
      <c r="CW141" s="493"/>
      <c r="CX141" s="493"/>
      <c r="CY141" s="493"/>
      <c r="CZ141" s="493"/>
      <c r="DA141" s="493"/>
      <c r="DB141" s="493"/>
      <c r="DC141" s="493"/>
      <c r="DD141" s="493"/>
      <c r="DE141" s="493"/>
      <c r="DF141" s="493"/>
      <c r="DG141" s="493"/>
      <c r="DH141" s="493"/>
      <c r="DI141" s="493"/>
      <c r="DJ141" s="493"/>
      <c r="DK141" s="493"/>
      <c r="DL141" s="493"/>
      <c r="DM141" s="493"/>
      <c r="DN141" s="493"/>
      <c r="DO141" s="493"/>
      <c r="DP141" s="493"/>
      <c r="DQ141" s="493"/>
      <c r="DR141" s="493"/>
      <c r="DS141" s="493"/>
      <c r="DT141" s="493"/>
      <c r="DU141" s="493"/>
      <c r="DV141" s="493"/>
      <c r="DW141" s="493"/>
      <c r="DX141" s="493"/>
      <c r="DY141" s="493"/>
      <c r="DZ141" s="493"/>
      <c r="EA141" s="493"/>
      <c r="EB141" s="493"/>
      <c r="EC141" s="493"/>
      <c r="ED141" s="493"/>
      <c r="EE141" s="493"/>
      <c r="EF141" s="493"/>
      <c r="EG141" s="493"/>
      <c r="EH141" s="493"/>
      <c r="EI141" s="493"/>
      <c r="EJ141" s="493"/>
      <c r="EK141" s="493"/>
      <c r="EL141" s="493"/>
      <c r="EM141" s="493"/>
      <c r="EN141" s="493"/>
      <c r="EO141" s="493"/>
      <c r="EP141" s="493"/>
      <c r="EQ141" s="493"/>
      <c r="ER141" s="493"/>
      <c r="ES141" s="493"/>
      <c r="ET141" s="493"/>
      <c r="EU141" s="493"/>
      <c r="EV141" s="493"/>
      <c r="EW141" s="493"/>
      <c r="EX141" s="493"/>
      <c r="EY141" s="493"/>
      <c r="EZ141" s="493"/>
      <c r="FA141" s="493"/>
      <c r="FB141" s="493"/>
      <c r="FC141" s="493"/>
      <c r="FD141" s="493"/>
      <c r="FE141" s="493"/>
      <c r="FF141" s="493"/>
      <c r="FG141" s="493"/>
      <c r="FH141" s="493"/>
      <c r="FI141" s="493"/>
      <c r="FJ141" s="493"/>
      <c r="FK141" s="493"/>
      <c r="FL141" s="493"/>
      <c r="FM141" s="493"/>
      <c r="FN141" s="493"/>
      <c r="FO141" s="493"/>
      <c r="FP141" s="493"/>
      <c r="FQ141" s="493"/>
      <c r="FR141" s="493"/>
      <c r="FS141" s="493"/>
      <c r="FT141" s="493"/>
      <c r="FU141" s="493"/>
      <c r="FV141" s="493"/>
      <c r="FW141" s="493"/>
      <c r="FX141" s="493"/>
      <c r="FY141" s="493"/>
      <c r="FZ141" s="493"/>
      <c r="GA141" s="493"/>
      <c r="GB141" s="493"/>
      <c r="GC141" s="493"/>
      <c r="GD141" s="493"/>
    </row>
    <row r="142" spans="1:186" ht="20.100000000000001" customHeight="1" thickBot="1">
      <c r="A142" s="80"/>
      <c r="B142" s="81"/>
      <c r="C142" s="82"/>
      <c r="D142" s="175"/>
      <c r="E142" s="175"/>
      <c r="F142" s="175"/>
      <c r="G142" s="175"/>
      <c r="H142" s="175"/>
      <c r="I142" s="175"/>
      <c r="J142" s="176"/>
      <c r="K142" s="175"/>
      <c r="L142" s="177"/>
      <c r="M142" s="580"/>
      <c r="N142" s="581"/>
      <c r="O142" s="492"/>
      <c r="P142" s="492"/>
      <c r="Q142" s="492"/>
      <c r="R142" s="492"/>
      <c r="S142" s="492"/>
      <c r="T142" s="492"/>
      <c r="U142" s="492"/>
      <c r="V142" s="492"/>
      <c r="W142" s="492"/>
      <c r="X142" s="492"/>
      <c r="Y142" s="492"/>
      <c r="Z142" s="492"/>
      <c r="AA142" s="492"/>
      <c r="AB142" s="492"/>
      <c r="AC142" s="492"/>
      <c r="AD142" s="492"/>
      <c r="AE142" s="492"/>
      <c r="AF142" s="492"/>
      <c r="AG142" s="492"/>
      <c r="AH142" s="493"/>
      <c r="AI142" s="493"/>
      <c r="AJ142" s="493"/>
      <c r="AK142" s="493"/>
      <c r="AL142" s="493"/>
      <c r="AM142" s="493"/>
      <c r="AN142" s="493"/>
      <c r="AO142" s="493"/>
      <c r="AP142" s="493"/>
      <c r="AQ142" s="493"/>
      <c r="AR142" s="493"/>
      <c r="AS142" s="493"/>
      <c r="AT142" s="493"/>
      <c r="AU142" s="493"/>
      <c r="AV142" s="493"/>
      <c r="AW142" s="493"/>
      <c r="AX142" s="493"/>
      <c r="AY142" s="493"/>
      <c r="AZ142" s="493"/>
      <c r="BA142" s="493"/>
      <c r="BB142" s="493"/>
      <c r="BC142" s="493"/>
      <c r="BD142" s="493"/>
      <c r="BE142" s="493"/>
      <c r="BF142" s="493"/>
      <c r="BG142" s="493"/>
      <c r="BH142" s="493"/>
      <c r="BI142" s="493"/>
      <c r="BJ142" s="493"/>
      <c r="BK142" s="493"/>
      <c r="BL142" s="493"/>
      <c r="BM142" s="493"/>
      <c r="BN142" s="493"/>
      <c r="BO142" s="493"/>
      <c r="BP142" s="493"/>
      <c r="BQ142" s="493"/>
      <c r="BR142" s="493"/>
      <c r="BS142" s="493"/>
      <c r="BT142" s="493"/>
      <c r="BU142" s="493"/>
      <c r="BV142" s="493"/>
      <c r="BW142" s="493"/>
      <c r="BX142" s="493"/>
      <c r="BY142" s="493"/>
      <c r="BZ142" s="493"/>
      <c r="CA142" s="493"/>
      <c r="CB142" s="493"/>
      <c r="CC142" s="493"/>
      <c r="CD142" s="493"/>
      <c r="CE142" s="493"/>
      <c r="CF142" s="493"/>
      <c r="CG142" s="493"/>
      <c r="CH142" s="493"/>
      <c r="CI142" s="493"/>
      <c r="CJ142" s="493"/>
      <c r="CK142" s="493"/>
      <c r="CL142" s="493"/>
      <c r="CM142" s="493"/>
      <c r="CN142" s="493"/>
      <c r="CO142" s="493"/>
      <c r="CP142" s="493"/>
      <c r="CQ142" s="493"/>
      <c r="CR142" s="493"/>
      <c r="CS142" s="493"/>
      <c r="CT142" s="493"/>
      <c r="CU142" s="493"/>
      <c r="CV142" s="493"/>
      <c r="CW142" s="493"/>
      <c r="CX142" s="493"/>
      <c r="CY142" s="493"/>
      <c r="CZ142" s="493"/>
      <c r="DA142" s="493"/>
      <c r="DB142" s="493"/>
      <c r="DC142" s="493"/>
      <c r="DD142" s="493"/>
      <c r="DE142" s="493"/>
      <c r="DF142" s="493"/>
      <c r="DG142" s="493"/>
      <c r="DH142" s="493"/>
      <c r="DI142" s="493"/>
      <c r="DJ142" s="493"/>
      <c r="DK142" s="493"/>
      <c r="DL142" s="493"/>
      <c r="DM142" s="493"/>
      <c r="DN142" s="493"/>
      <c r="DO142" s="493"/>
      <c r="DP142" s="493"/>
      <c r="DQ142" s="493"/>
      <c r="DR142" s="493"/>
      <c r="DS142" s="493"/>
      <c r="DT142" s="493"/>
      <c r="DU142" s="493"/>
      <c r="DV142" s="493"/>
      <c r="DW142" s="493"/>
      <c r="DX142" s="493"/>
      <c r="DY142" s="493"/>
      <c r="DZ142" s="493"/>
      <c r="EA142" s="493"/>
      <c r="EB142" s="493"/>
      <c r="EC142" s="493"/>
      <c r="ED142" s="493"/>
      <c r="EE142" s="493"/>
      <c r="EF142" s="493"/>
      <c r="EG142" s="493"/>
      <c r="EH142" s="493"/>
      <c r="EI142" s="493"/>
      <c r="EJ142" s="493"/>
      <c r="EK142" s="493"/>
      <c r="EL142" s="493"/>
      <c r="EM142" s="493"/>
      <c r="EN142" s="493"/>
      <c r="EO142" s="493"/>
      <c r="EP142" s="493"/>
      <c r="EQ142" s="493"/>
      <c r="ER142" s="493"/>
      <c r="ES142" s="493"/>
      <c r="ET142" s="493"/>
      <c r="EU142" s="493"/>
      <c r="EV142" s="493"/>
      <c r="EW142" s="493"/>
      <c r="EX142" s="493"/>
      <c r="EY142" s="493"/>
      <c r="EZ142" s="493"/>
      <c r="FA142" s="493"/>
      <c r="FB142" s="493"/>
      <c r="FC142" s="493"/>
      <c r="FD142" s="493"/>
      <c r="FE142" s="493"/>
      <c r="FF142" s="493"/>
      <c r="FG142" s="493"/>
      <c r="FH142" s="493"/>
      <c r="FI142" s="493"/>
      <c r="FJ142" s="493"/>
      <c r="FK142" s="493"/>
      <c r="FL142" s="493"/>
      <c r="FM142" s="493"/>
      <c r="FN142" s="493"/>
      <c r="FO142" s="493"/>
      <c r="FP142" s="493"/>
      <c r="FQ142" s="493"/>
      <c r="FR142" s="493"/>
      <c r="FS142" s="493"/>
      <c r="FT142" s="493"/>
      <c r="FU142" s="493"/>
      <c r="FV142" s="493"/>
      <c r="FW142" s="493"/>
      <c r="FX142" s="493"/>
      <c r="FY142" s="493"/>
      <c r="FZ142" s="493"/>
      <c r="GA142" s="493"/>
      <c r="GB142" s="493"/>
      <c r="GC142" s="493"/>
      <c r="GD142" s="493"/>
    </row>
    <row r="143" spans="1:186" ht="54.75" customHeight="1">
      <c r="H143" s="194"/>
      <c r="O143" s="492"/>
      <c r="P143" s="492"/>
      <c r="Q143" s="492"/>
      <c r="R143" s="492"/>
      <c r="S143" s="492"/>
      <c r="T143" s="492"/>
      <c r="U143" s="492"/>
      <c r="V143" s="492"/>
      <c r="W143" s="492"/>
      <c r="X143" s="492"/>
      <c r="Y143" s="492"/>
      <c r="Z143" s="492"/>
      <c r="AA143" s="492"/>
      <c r="AB143" s="492"/>
      <c r="AC143" s="492"/>
      <c r="AD143" s="492"/>
      <c r="AE143" s="492"/>
      <c r="AF143" s="492"/>
      <c r="AG143" s="492"/>
      <c r="AH143" s="493"/>
      <c r="AI143" s="493"/>
      <c r="AJ143" s="493"/>
      <c r="AK143" s="493"/>
      <c r="AL143" s="493"/>
      <c r="AM143" s="493"/>
      <c r="AN143" s="493"/>
      <c r="AO143" s="493"/>
      <c r="AP143" s="493"/>
      <c r="AQ143" s="493"/>
      <c r="AR143" s="493"/>
      <c r="AS143" s="493"/>
      <c r="AT143" s="493"/>
      <c r="AU143" s="493"/>
      <c r="AV143" s="493"/>
      <c r="AW143" s="493"/>
      <c r="AX143" s="493"/>
      <c r="AY143" s="493"/>
      <c r="AZ143" s="493"/>
      <c r="BA143" s="493"/>
      <c r="BB143" s="493"/>
      <c r="BC143" s="493"/>
      <c r="BD143" s="493"/>
      <c r="BE143" s="493"/>
      <c r="BF143" s="493"/>
      <c r="BG143" s="493"/>
      <c r="BH143" s="493"/>
      <c r="BI143" s="493"/>
      <c r="BJ143" s="493"/>
      <c r="BK143" s="493"/>
      <c r="BL143" s="493"/>
      <c r="BM143" s="493"/>
      <c r="BN143" s="493"/>
      <c r="BO143" s="493"/>
      <c r="BP143" s="493"/>
      <c r="BQ143" s="493"/>
      <c r="BR143" s="493"/>
      <c r="BS143" s="493"/>
      <c r="BT143" s="493"/>
      <c r="BU143" s="493"/>
      <c r="BV143" s="493"/>
      <c r="BW143" s="493"/>
      <c r="BX143" s="493"/>
      <c r="BY143" s="493"/>
      <c r="BZ143" s="493"/>
      <c r="CA143" s="493"/>
      <c r="CB143" s="493"/>
      <c r="CC143" s="493"/>
      <c r="CD143" s="493"/>
      <c r="CE143" s="493"/>
      <c r="CF143" s="493"/>
      <c r="CG143" s="493"/>
      <c r="CH143" s="493"/>
      <c r="CI143" s="493"/>
      <c r="CJ143" s="493"/>
      <c r="CK143" s="493"/>
      <c r="CL143" s="493"/>
      <c r="CM143" s="493"/>
      <c r="CN143" s="493"/>
      <c r="CO143" s="493"/>
      <c r="CP143" s="493"/>
      <c r="CQ143" s="493"/>
      <c r="CR143" s="493"/>
      <c r="CS143" s="493"/>
      <c r="CT143" s="493"/>
      <c r="CU143" s="493"/>
      <c r="CV143" s="493"/>
      <c r="CW143" s="493"/>
      <c r="CX143" s="493"/>
      <c r="CY143" s="493"/>
      <c r="CZ143" s="493"/>
      <c r="DA143" s="493"/>
      <c r="DB143" s="493"/>
      <c r="DC143" s="493"/>
      <c r="DD143" s="493"/>
      <c r="DE143" s="493"/>
      <c r="DF143" s="493"/>
      <c r="DG143" s="493"/>
      <c r="DH143" s="493"/>
      <c r="DI143" s="493"/>
      <c r="DJ143" s="493"/>
      <c r="DK143" s="493"/>
      <c r="DL143" s="493"/>
      <c r="DM143" s="493"/>
      <c r="DN143" s="493"/>
      <c r="DO143" s="493"/>
      <c r="DP143" s="493"/>
      <c r="DQ143" s="493"/>
      <c r="DR143" s="493"/>
      <c r="DS143" s="493"/>
      <c r="DT143" s="493"/>
      <c r="DU143" s="493"/>
      <c r="DV143" s="493"/>
      <c r="DW143" s="493"/>
      <c r="DX143" s="493"/>
      <c r="DY143" s="493"/>
      <c r="DZ143" s="493"/>
      <c r="EA143" s="493"/>
      <c r="EB143" s="493"/>
      <c r="EC143" s="493"/>
      <c r="ED143" s="493"/>
      <c r="EE143" s="493"/>
      <c r="EF143" s="493"/>
      <c r="EG143" s="493"/>
      <c r="EH143" s="493"/>
      <c r="EI143" s="493"/>
      <c r="EJ143" s="493"/>
      <c r="EK143" s="493"/>
      <c r="EL143" s="493"/>
      <c r="EM143" s="493"/>
      <c r="EN143" s="493"/>
      <c r="EO143" s="493"/>
      <c r="EP143" s="493"/>
      <c r="EQ143" s="493"/>
      <c r="ER143" s="493"/>
      <c r="ES143" s="493"/>
      <c r="ET143" s="493"/>
      <c r="EU143" s="493"/>
      <c r="EV143" s="493"/>
      <c r="EW143" s="493"/>
      <c r="EX143" s="493"/>
      <c r="EY143" s="493"/>
      <c r="EZ143" s="493"/>
      <c r="FA143" s="493"/>
      <c r="FB143" s="493"/>
      <c r="FC143" s="493"/>
      <c r="FD143" s="493"/>
      <c r="FE143" s="493"/>
      <c r="FF143" s="493"/>
      <c r="FG143" s="493"/>
      <c r="FH143" s="493"/>
      <c r="FI143" s="493"/>
      <c r="FJ143" s="493"/>
      <c r="FK143" s="493"/>
      <c r="FL143" s="493"/>
      <c r="FM143" s="493"/>
      <c r="FN143" s="493"/>
      <c r="FO143" s="493"/>
      <c r="FP143" s="493"/>
      <c r="FQ143" s="493"/>
      <c r="FR143" s="493"/>
      <c r="FS143" s="493"/>
      <c r="FT143" s="493"/>
      <c r="FU143" s="493"/>
      <c r="FV143" s="493"/>
      <c r="FW143" s="493"/>
      <c r="FX143" s="493"/>
      <c r="FY143" s="493"/>
      <c r="FZ143" s="493"/>
      <c r="GA143" s="493"/>
      <c r="GB143" s="493"/>
      <c r="GC143" s="493"/>
      <c r="GD143" s="493"/>
    </row>
    <row r="144" spans="1:186" ht="72" customHeight="1" thickBot="1">
      <c r="C144" s="195"/>
      <c r="D144" s="196"/>
      <c r="E144" s="196"/>
      <c r="F144" s="196"/>
      <c r="G144" s="196"/>
      <c r="H144" s="196"/>
      <c r="I144" s="196"/>
      <c r="J144" s="196"/>
      <c r="K144" s="196"/>
      <c r="L144" s="196"/>
      <c r="M144" s="196"/>
      <c r="BE144" s="75"/>
    </row>
    <row r="145" spans="1:57" ht="42.75" customHeight="1" thickTop="1" thickBot="1">
      <c r="C145" s="582" t="str">
        <f>D76</f>
        <v>MAC QT 160 P</v>
      </c>
      <c r="D145" s="583"/>
      <c r="E145" s="583"/>
      <c r="F145" s="583"/>
      <c r="G145" s="197" t="str">
        <f>A87</f>
        <v>H42</v>
      </c>
      <c r="H145" s="198"/>
      <c r="I145" s="199">
        <f>F9</f>
        <v>4</v>
      </c>
      <c r="J145" s="200" t="s">
        <v>123</v>
      </c>
      <c r="K145" s="569" t="s">
        <v>67</v>
      </c>
      <c r="L145" s="570"/>
      <c r="M145" s="571"/>
      <c r="BE145" s="75"/>
    </row>
    <row r="146" spans="1:57" ht="42.75" customHeight="1" thickTop="1" thickBot="1">
      <c r="C146" s="201" t="s">
        <v>124</v>
      </c>
      <c r="D146" s="584"/>
      <c r="E146" s="584"/>
      <c r="F146" s="585"/>
      <c r="G146" s="202" t="s">
        <v>125</v>
      </c>
      <c r="H146" s="586"/>
      <c r="I146" s="584"/>
      <c r="J146" s="585"/>
      <c r="K146" s="565" t="str">
        <f>J11</f>
        <v>IM B3</v>
      </c>
      <c r="L146" s="570"/>
      <c r="M146" s="571"/>
      <c r="BE146" s="75"/>
    </row>
    <row r="147" spans="1:57" s="189" customFormat="1" ht="42.75" customHeight="1" thickTop="1" thickBot="1">
      <c r="A147" s="76"/>
      <c r="C147" s="201" t="s">
        <v>126</v>
      </c>
      <c r="D147" s="561">
        <f>D87</f>
        <v>149.59007579333158</v>
      </c>
      <c r="E147" s="562"/>
      <c r="F147" s="203" t="s">
        <v>127</v>
      </c>
      <c r="G147" s="202" t="s">
        <v>128</v>
      </c>
      <c r="H147" s="563">
        <f>B87</f>
        <v>480</v>
      </c>
      <c r="I147" s="564"/>
      <c r="J147" s="200" t="s">
        <v>79</v>
      </c>
      <c r="K147" s="565" t="str">
        <f>G11</f>
        <v>IP 23</v>
      </c>
      <c r="L147" s="566"/>
      <c r="M147" s="567"/>
      <c r="N147" s="76"/>
      <c r="O147" s="435"/>
      <c r="P147" s="435"/>
      <c r="Q147" s="435"/>
      <c r="R147" s="435"/>
      <c r="S147" s="435"/>
      <c r="T147" s="435"/>
      <c r="U147" s="435"/>
      <c r="V147" s="435"/>
      <c r="W147" s="435"/>
      <c r="X147" s="435"/>
      <c r="Y147" s="435"/>
      <c r="Z147" s="435"/>
      <c r="AA147" s="435"/>
      <c r="AB147" s="435"/>
      <c r="AC147" s="435"/>
      <c r="AD147" s="435"/>
      <c r="AE147" s="74"/>
      <c r="AF147" s="74"/>
      <c r="AG147" s="74"/>
      <c r="AH147" s="204"/>
      <c r="AI147" s="204"/>
      <c r="AJ147" s="204"/>
      <c r="AK147" s="204"/>
      <c r="AL147" s="204"/>
      <c r="AM147" s="205"/>
      <c r="AN147" s="205"/>
      <c r="AO147" s="205"/>
      <c r="AP147" s="206"/>
      <c r="AQ147" s="205"/>
      <c r="AR147" s="204"/>
      <c r="AS147" s="204"/>
      <c r="AT147" s="204"/>
      <c r="AU147" s="204"/>
      <c r="AV147" s="204"/>
      <c r="AW147" s="204"/>
      <c r="AX147" s="204"/>
      <c r="AY147" s="204"/>
      <c r="AZ147" s="204"/>
      <c r="BA147" s="408"/>
      <c r="BB147" s="408"/>
      <c r="BC147" s="408"/>
      <c r="BD147" s="408"/>
      <c r="BE147" s="207"/>
    </row>
    <row r="148" spans="1:57" ht="42.75" customHeight="1" thickTop="1" thickBot="1">
      <c r="C148" s="201" t="s">
        <v>129</v>
      </c>
      <c r="D148" s="208" t="str">
        <f>IF(RIGHT(G145)="1","Y","D")</f>
        <v>D</v>
      </c>
      <c r="E148" s="209">
        <f>F81</f>
        <v>400</v>
      </c>
      <c r="F148" s="203" t="s">
        <v>130</v>
      </c>
      <c r="G148" s="202" t="s">
        <v>131</v>
      </c>
      <c r="H148" s="568">
        <f>F87</f>
        <v>100</v>
      </c>
      <c r="I148" s="561"/>
      <c r="J148" s="200" t="s">
        <v>83</v>
      </c>
      <c r="K148" s="569" t="str">
        <f>C8</f>
        <v>IC 06</v>
      </c>
      <c r="L148" s="570"/>
      <c r="M148" s="571"/>
      <c r="BE148" s="75"/>
    </row>
    <row r="149" spans="1:57" ht="42.75" customHeight="1" thickTop="1" thickBot="1">
      <c r="C149" s="201" t="s">
        <v>132</v>
      </c>
      <c r="D149" s="561">
        <f>C87</f>
        <v>274.60000000000002</v>
      </c>
      <c r="E149" s="562"/>
      <c r="F149" s="203" t="s">
        <v>35</v>
      </c>
      <c r="G149" s="202" t="s">
        <v>133</v>
      </c>
      <c r="H149" s="210">
        <f>P87</f>
        <v>0.81405128743680499</v>
      </c>
      <c r="I149" s="201" t="s">
        <v>134</v>
      </c>
      <c r="J149" s="211">
        <f>O87</f>
        <v>0.96589487818245279</v>
      </c>
      <c r="K149" s="569" t="str">
        <f>I15</f>
        <v>Cl. F</v>
      </c>
      <c r="L149" s="570"/>
      <c r="M149" s="571"/>
      <c r="BE149" s="75"/>
    </row>
    <row r="150" spans="1:57" ht="42.75" customHeight="1" thickTop="1" thickBot="1">
      <c r="C150" s="201" t="s">
        <v>135</v>
      </c>
      <c r="D150" s="577">
        <f>E87</f>
        <v>2976</v>
      </c>
      <c r="E150" s="578"/>
      <c r="F150" s="203" t="s">
        <v>82</v>
      </c>
      <c r="G150" s="202" t="s">
        <v>136</v>
      </c>
      <c r="H150" s="579">
        <f>L13</f>
        <v>6500</v>
      </c>
      <c r="I150" s="564"/>
      <c r="J150" s="212" t="s">
        <v>82</v>
      </c>
      <c r="K150" s="569" t="str">
        <f>F24</f>
        <v>S1</v>
      </c>
      <c r="L150" s="570"/>
      <c r="M150" s="571"/>
      <c r="BE150" s="75"/>
    </row>
    <row r="151" spans="1:57" ht="42.75" customHeight="1" thickTop="1" thickBot="1">
      <c r="C151" s="213" t="s">
        <v>137</v>
      </c>
      <c r="D151" s="214"/>
      <c r="E151" s="215" t="s">
        <v>130</v>
      </c>
      <c r="F151" s="214" t="s">
        <v>138</v>
      </c>
      <c r="G151" s="216" t="s">
        <v>139</v>
      </c>
      <c r="H151" s="217"/>
      <c r="I151" s="213" t="s">
        <v>140</v>
      </c>
      <c r="J151" s="218" t="s">
        <v>79</v>
      </c>
      <c r="K151" s="215" t="s">
        <v>79</v>
      </c>
      <c r="L151" s="219" t="s">
        <v>141</v>
      </c>
      <c r="M151" s="220" t="s">
        <v>141</v>
      </c>
      <c r="BE151" s="75"/>
    </row>
    <row r="152" spans="1:57" ht="42.75" customHeight="1" thickTop="1" thickBot="1">
      <c r="C152" s="558" t="s">
        <v>142</v>
      </c>
      <c r="D152" s="559"/>
      <c r="E152" s="559"/>
      <c r="F152" s="559"/>
      <c r="G152" s="559"/>
      <c r="H152" s="559"/>
      <c r="I152" s="559"/>
      <c r="J152" s="559"/>
      <c r="K152" s="559"/>
      <c r="L152" s="559"/>
      <c r="M152" s="560"/>
      <c r="BE152" s="75"/>
    </row>
    <row r="153" spans="1:57" ht="15" customHeight="1" thickTop="1">
      <c r="O153" s="437"/>
      <c r="P153" s="437"/>
      <c r="Q153" s="437"/>
      <c r="R153" s="437"/>
      <c r="S153" s="437"/>
      <c r="T153" s="437"/>
      <c r="U153" s="437"/>
    </row>
  </sheetData>
  <sheetProtection sheet="1" objects="1" scenarios="1"/>
  <mergeCells count="97">
    <mergeCell ref="C19:C20"/>
    <mergeCell ref="F19:F20"/>
    <mergeCell ref="M1:N1"/>
    <mergeCell ref="D2:K2"/>
    <mergeCell ref="M2:N2"/>
    <mergeCell ref="D3:K3"/>
    <mergeCell ref="M3:N3"/>
    <mergeCell ref="N15:N16"/>
    <mergeCell ref="A16:D18"/>
    <mergeCell ref="F17:H18"/>
    <mergeCell ref="K17:N18"/>
    <mergeCell ref="D4:K4"/>
    <mergeCell ref="M4:N4"/>
    <mergeCell ref="M5:N5"/>
    <mergeCell ref="H7:I8"/>
    <mergeCell ref="J7:L7"/>
    <mergeCell ref="C15:D15"/>
    <mergeCell ref="F15:F16"/>
    <mergeCell ref="I15:I16"/>
    <mergeCell ref="K15:K16"/>
    <mergeCell ref="M7:N8"/>
    <mergeCell ref="C8:D9"/>
    <mergeCell ref="J8:L8"/>
    <mergeCell ref="F9:F10"/>
    <mergeCell ref="I9:J10"/>
    <mergeCell ref="M9:N10"/>
    <mergeCell ref="G10:H10"/>
    <mergeCell ref="C11:D11"/>
    <mergeCell ref="G11:G12"/>
    <mergeCell ref="N11:N12"/>
    <mergeCell ref="C12:D12"/>
    <mergeCell ref="C13:D13"/>
    <mergeCell ref="G13:H14"/>
    <mergeCell ref="L13:N14"/>
    <mergeCell ref="C14:D14"/>
    <mergeCell ref="D76:K76"/>
    <mergeCell ref="M76:N76"/>
    <mergeCell ref="F24:F25"/>
    <mergeCell ref="H24:K25"/>
    <mergeCell ref="L24:L25"/>
    <mergeCell ref="M75:N75"/>
    <mergeCell ref="H81:K81"/>
    <mergeCell ref="L81:L82"/>
    <mergeCell ref="M21:N22"/>
    <mergeCell ref="A22:D22"/>
    <mergeCell ref="H22:K22"/>
    <mergeCell ref="B24:E25"/>
    <mergeCell ref="M79:N79"/>
    <mergeCell ref="A21:D21"/>
    <mergeCell ref="E21:E22"/>
    <mergeCell ref="F21:G22"/>
    <mergeCell ref="H21:K21"/>
    <mergeCell ref="L21:L22"/>
    <mergeCell ref="D77:K77"/>
    <mergeCell ref="M77:N77"/>
    <mergeCell ref="D78:K78"/>
    <mergeCell ref="M78:N78"/>
    <mergeCell ref="A113:C114"/>
    <mergeCell ref="M81:N82"/>
    <mergeCell ref="Q81:T81"/>
    <mergeCell ref="W81:AB81"/>
    <mergeCell ref="A82:D82"/>
    <mergeCell ref="H82:K82"/>
    <mergeCell ref="Q82:T82"/>
    <mergeCell ref="W82:AB82"/>
    <mergeCell ref="B84:E85"/>
    <mergeCell ref="F84:F85"/>
    <mergeCell ref="H84:K85"/>
    <mergeCell ref="L84:L85"/>
    <mergeCell ref="A89:C90"/>
    <mergeCell ref="A81:D81"/>
    <mergeCell ref="E81:E82"/>
    <mergeCell ref="F81:G82"/>
    <mergeCell ref="M138:N138"/>
    <mergeCell ref="D139:K139"/>
    <mergeCell ref="M139:N139"/>
    <mergeCell ref="D140:K140"/>
    <mergeCell ref="M140:N140"/>
    <mergeCell ref="D141:K141"/>
    <mergeCell ref="M141:N141"/>
    <mergeCell ref="D150:E150"/>
    <mergeCell ref="H150:I150"/>
    <mergeCell ref="K150:M150"/>
    <mergeCell ref="M142:N142"/>
    <mergeCell ref="C145:F145"/>
    <mergeCell ref="K145:M145"/>
    <mergeCell ref="D146:F146"/>
    <mergeCell ref="H146:J146"/>
    <mergeCell ref="K146:M146"/>
    <mergeCell ref="C152:M152"/>
    <mergeCell ref="D147:E147"/>
    <mergeCell ref="H147:I147"/>
    <mergeCell ref="K147:M147"/>
    <mergeCell ref="H148:I148"/>
    <mergeCell ref="K148:M148"/>
    <mergeCell ref="D149:E149"/>
    <mergeCell ref="K149:M149"/>
  </mergeCells>
  <dataValidations disablePrompts="1" count="1">
    <dataValidation type="list" allowBlank="1" showInputMessage="1" showErrorMessage="1" sqref="K146:M146 WVS983186:WVU983186 WLW983186:WLY983186 WCA983186:WCC983186 VSE983186:VSG983186 VII983186:VIK983186 UYM983186:UYO983186 UOQ983186:UOS983186 UEU983186:UEW983186 TUY983186:TVA983186 TLC983186:TLE983186 TBG983186:TBI983186 SRK983186:SRM983186 SHO983186:SHQ983186 RXS983186:RXU983186 RNW983186:RNY983186 REA983186:REC983186 QUE983186:QUG983186 QKI983186:QKK983186 QAM983186:QAO983186 PQQ983186:PQS983186 PGU983186:PGW983186 OWY983186:OXA983186 ONC983186:ONE983186 ODG983186:ODI983186 NTK983186:NTM983186 NJO983186:NJQ983186 MZS983186:MZU983186 MPW983186:MPY983186 MGA983186:MGC983186 LWE983186:LWG983186 LMI983186:LMK983186 LCM983186:LCO983186 KSQ983186:KSS983186 KIU983186:KIW983186 JYY983186:JZA983186 JPC983186:JPE983186 JFG983186:JFI983186 IVK983186:IVM983186 ILO983186:ILQ983186 IBS983186:IBU983186 HRW983186:HRY983186 HIA983186:HIC983186 GYE983186:GYG983186 GOI983186:GOK983186 GEM983186:GEO983186 FUQ983186:FUS983186 FKU983186:FKW983186 FAY983186:FBA983186 ERC983186:ERE983186 EHG983186:EHI983186 DXK983186:DXM983186 DNO983186:DNQ983186 DDS983186:DDU983186 CTW983186:CTY983186 CKA983186:CKC983186 CAE983186:CAG983186 BQI983186:BQK983186 BGM983186:BGO983186 AWQ983186:AWS983186 AMU983186:AMW983186 ACY983186:ADA983186 TC983186:TE983186 JG983186:JI983186 K983186:M983186 WVS917650:WVU917650 WLW917650:WLY917650 WCA917650:WCC917650 VSE917650:VSG917650 VII917650:VIK917650 UYM917650:UYO917650 UOQ917650:UOS917650 UEU917650:UEW917650 TUY917650:TVA917650 TLC917650:TLE917650 TBG917650:TBI917650 SRK917650:SRM917650 SHO917650:SHQ917650 RXS917650:RXU917650 RNW917650:RNY917650 REA917650:REC917650 QUE917650:QUG917650 QKI917650:QKK917650 QAM917650:QAO917650 PQQ917650:PQS917650 PGU917650:PGW917650 OWY917650:OXA917650 ONC917650:ONE917650 ODG917650:ODI917650 NTK917650:NTM917650 NJO917650:NJQ917650 MZS917650:MZU917650 MPW917650:MPY917650 MGA917650:MGC917650 LWE917650:LWG917650 LMI917650:LMK917650 LCM917650:LCO917650 KSQ917650:KSS917650 KIU917650:KIW917650 JYY917650:JZA917650 JPC917650:JPE917650 JFG917650:JFI917650 IVK917650:IVM917650 ILO917650:ILQ917650 IBS917650:IBU917650 HRW917650:HRY917650 HIA917650:HIC917650 GYE917650:GYG917650 GOI917650:GOK917650 GEM917650:GEO917650 FUQ917650:FUS917650 FKU917650:FKW917650 FAY917650:FBA917650 ERC917650:ERE917650 EHG917650:EHI917650 DXK917650:DXM917650 DNO917650:DNQ917650 DDS917650:DDU917650 CTW917650:CTY917650 CKA917650:CKC917650 CAE917650:CAG917650 BQI917650:BQK917650 BGM917650:BGO917650 AWQ917650:AWS917650 AMU917650:AMW917650 ACY917650:ADA917650 TC917650:TE917650 JG917650:JI917650 K917650:M917650 WVS852114:WVU852114 WLW852114:WLY852114 WCA852114:WCC852114 VSE852114:VSG852114 VII852114:VIK852114 UYM852114:UYO852114 UOQ852114:UOS852114 UEU852114:UEW852114 TUY852114:TVA852114 TLC852114:TLE852114 TBG852114:TBI852114 SRK852114:SRM852114 SHO852114:SHQ852114 RXS852114:RXU852114 RNW852114:RNY852114 REA852114:REC852114 QUE852114:QUG852114 QKI852114:QKK852114 QAM852114:QAO852114 PQQ852114:PQS852114 PGU852114:PGW852114 OWY852114:OXA852114 ONC852114:ONE852114 ODG852114:ODI852114 NTK852114:NTM852114 NJO852114:NJQ852114 MZS852114:MZU852114 MPW852114:MPY852114 MGA852114:MGC852114 LWE852114:LWG852114 LMI852114:LMK852114 LCM852114:LCO852114 KSQ852114:KSS852114 KIU852114:KIW852114 JYY852114:JZA852114 JPC852114:JPE852114 JFG852114:JFI852114 IVK852114:IVM852114 ILO852114:ILQ852114 IBS852114:IBU852114 HRW852114:HRY852114 HIA852114:HIC852114 GYE852114:GYG852114 GOI852114:GOK852114 GEM852114:GEO852114 FUQ852114:FUS852114 FKU852114:FKW852114 FAY852114:FBA852114 ERC852114:ERE852114 EHG852114:EHI852114 DXK852114:DXM852114 DNO852114:DNQ852114 DDS852114:DDU852114 CTW852114:CTY852114 CKA852114:CKC852114 CAE852114:CAG852114 BQI852114:BQK852114 BGM852114:BGO852114 AWQ852114:AWS852114 AMU852114:AMW852114 ACY852114:ADA852114 TC852114:TE852114 JG852114:JI852114 K852114:M852114 WVS786578:WVU786578 WLW786578:WLY786578 WCA786578:WCC786578 VSE786578:VSG786578 VII786578:VIK786578 UYM786578:UYO786578 UOQ786578:UOS786578 UEU786578:UEW786578 TUY786578:TVA786578 TLC786578:TLE786578 TBG786578:TBI786578 SRK786578:SRM786578 SHO786578:SHQ786578 RXS786578:RXU786578 RNW786578:RNY786578 REA786578:REC786578 QUE786578:QUG786578 QKI786578:QKK786578 QAM786578:QAO786578 PQQ786578:PQS786578 PGU786578:PGW786578 OWY786578:OXA786578 ONC786578:ONE786578 ODG786578:ODI786578 NTK786578:NTM786578 NJO786578:NJQ786578 MZS786578:MZU786578 MPW786578:MPY786578 MGA786578:MGC786578 LWE786578:LWG786578 LMI786578:LMK786578 LCM786578:LCO786578 KSQ786578:KSS786578 KIU786578:KIW786578 JYY786578:JZA786578 JPC786578:JPE786578 JFG786578:JFI786578 IVK786578:IVM786578 ILO786578:ILQ786578 IBS786578:IBU786578 HRW786578:HRY786578 HIA786578:HIC786578 GYE786578:GYG786578 GOI786578:GOK786578 GEM786578:GEO786578 FUQ786578:FUS786578 FKU786578:FKW786578 FAY786578:FBA786578 ERC786578:ERE786578 EHG786578:EHI786578 DXK786578:DXM786578 DNO786578:DNQ786578 DDS786578:DDU786578 CTW786578:CTY786578 CKA786578:CKC786578 CAE786578:CAG786578 BQI786578:BQK786578 BGM786578:BGO786578 AWQ786578:AWS786578 AMU786578:AMW786578 ACY786578:ADA786578 TC786578:TE786578 JG786578:JI786578 K786578:M786578 WVS721042:WVU721042 WLW721042:WLY721042 WCA721042:WCC721042 VSE721042:VSG721042 VII721042:VIK721042 UYM721042:UYO721042 UOQ721042:UOS721042 UEU721042:UEW721042 TUY721042:TVA721042 TLC721042:TLE721042 TBG721042:TBI721042 SRK721042:SRM721042 SHO721042:SHQ721042 RXS721042:RXU721042 RNW721042:RNY721042 REA721042:REC721042 QUE721042:QUG721042 QKI721042:QKK721042 QAM721042:QAO721042 PQQ721042:PQS721042 PGU721042:PGW721042 OWY721042:OXA721042 ONC721042:ONE721042 ODG721042:ODI721042 NTK721042:NTM721042 NJO721042:NJQ721042 MZS721042:MZU721042 MPW721042:MPY721042 MGA721042:MGC721042 LWE721042:LWG721042 LMI721042:LMK721042 LCM721042:LCO721042 KSQ721042:KSS721042 KIU721042:KIW721042 JYY721042:JZA721042 JPC721042:JPE721042 JFG721042:JFI721042 IVK721042:IVM721042 ILO721042:ILQ721042 IBS721042:IBU721042 HRW721042:HRY721042 HIA721042:HIC721042 GYE721042:GYG721042 GOI721042:GOK721042 GEM721042:GEO721042 FUQ721042:FUS721042 FKU721042:FKW721042 FAY721042:FBA721042 ERC721042:ERE721042 EHG721042:EHI721042 DXK721042:DXM721042 DNO721042:DNQ721042 DDS721042:DDU721042 CTW721042:CTY721042 CKA721042:CKC721042 CAE721042:CAG721042 BQI721042:BQK721042 BGM721042:BGO721042 AWQ721042:AWS721042 AMU721042:AMW721042 ACY721042:ADA721042 TC721042:TE721042 JG721042:JI721042 K721042:M721042 WVS655506:WVU655506 WLW655506:WLY655506 WCA655506:WCC655506 VSE655506:VSG655506 VII655506:VIK655506 UYM655506:UYO655506 UOQ655506:UOS655506 UEU655506:UEW655506 TUY655506:TVA655506 TLC655506:TLE655506 TBG655506:TBI655506 SRK655506:SRM655506 SHO655506:SHQ655506 RXS655506:RXU655506 RNW655506:RNY655506 REA655506:REC655506 QUE655506:QUG655506 QKI655506:QKK655506 QAM655506:QAO655506 PQQ655506:PQS655506 PGU655506:PGW655506 OWY655506:OXA655506 ONC655506:ONE655506 ODG655506:ODI655506 NTK655506:NTM655506 NJO655506:NJQ655506 MZS655506:MZU655506 MPW655506:MPY655506 MGA655506:MGC655506 LWE655506:LWG655506 LMI655506:LMK655506 LCM655506:LCO655506 KSQ655506:KSS655506 KIU655506:KIW655506 JYY655506:JZA655506 JPC655506:JPE655506 JFG655506:JFI655506 IVK655506:IVM655506 ILO655506:ILQ655506 IBS655506:IBU655506 HRW655506:HRY655506 HIA655506:HIC655506 GYE655506:GYG655506 GOI655506:GOK655506 GEM655506:GEO655506 FUQ655506:FUS655506 FKU655506:FKW655506 FAY655506:FBA655506 ERC655506:ERE655506 EHG655506:EHI655506 DXK655506:DXM655506 DNO655506:DNQ655506 DDS655506:DDU655506 CTW655506:CTY655506 CKA655506:CKC655506 CAE655506:CAG655506 BQI655506:BQK655506 BGM655506:BGO655506 AWQ655506:AWS655506 AMU655506:AMW655506 ACY655506:ADA655506 TC655506:TE655506 JG655506:JI655506 K655506:M655506 WVS589970:WVU589970 WLW589970:WLY589970 WCA589970:WCC589970 VSE589970:VSG589970 VII589970:VIK589970 UYM589970:UYO589970 UOQ589970:UOS589970 UEU589970:UEW589970 TUY589970:TVA589970 TLC589970:TLE589970 TBG589970:TBI589970 SRK589970:SRM589970 SHO589970:SHQ589970 RXS589970:RXU589970 RNW589970:RNY589970 REA589970:REC589970 QUE589970:QUG589970 QKI589970:QKK589970 QAM589970:QAO589970 PQQ589970:PQS589970 PGU589970:PGW589970 OWY589970:OXA589970 ONC589970:ONE589970 ODG589970:ODI589970 NTK589970:NTM589970 NJO589970:NJQ589970 MZS589970:MZU589970 MPW589970:MPY589970 MGA589970:MGC589970 LWE589970:LWG589970 LMI589970:LMK589970 LCM589970:LCO589970 KSQ589970:KSS589970 KIU589970:KIW589970 JYY589970:JZA589970 JPC589970:JPE589970 JFG589970:JFI589970 IVK589970:IVM589970 ILO589970:ILQ589970 IBS589970:IBU589970 HRW589970:HRY589970 HIA589970:HIC589970 GYE589970:GYG589970 GOI589970:GOK589970 GEM589970:GEO589970 FUQ589970:FUS589970 FKU589970:FKW589970 FAY589970:FBA589970 ERC589970:ERE589970 EHG589970:EHI589970 DXK589970:DXM589970 DNO589970:DNQ589970 DDS589970:DDU589970 CTW589970:CTY589970 CKA589970:CKC589970 CAE589970:CAG589970 BQI589970:BQK589970 BGM589970:BGO589970 AWQ589970:AWS589970 AMU589970:AMW589970 ACY589970:ADA589970 TC589970:TE589970 JG589970:JI589970 K589970:M589970 WVS524434:WVU524434 WLW524434:WLY524434 WCA524434:WCC524434 VSE524434:VSG524434 VII524434:VIK524434 UYM524434:UYO524434 UOQ524434:UOS524434 UEU524434:UEW524434 TUY524434:TVA524434 TLC524434:TLE524434 TBG524434:TBI524434 SRK524434:SRM524434 SHO524434:SHQ524434 RXS524434:RXU524434 RNW524434:RNY524434 REA524434:REC524434 QUE524434:QUG524434 QKI524434:QKK524434 QAM524434:QAO524434 PQQ524434:PQS524434 PGU524434:PGW524434 OWY524434:OXA524434 ONC524434:ONE524434 ODG524434:ODI524434 NTK524434:NTM524434 NJO524434:NJQ524434 MZS524434:MZU524434 MPW524434:MPY524434 MGA524434:MGC524434 LWE524434:LWG524434 LMI524434:LMK524434 LCM524434:LCO524434 KSQ524434:KSS524434 KIU524434:KIW524434 JYY524434:JZA524434 JPC524434:JPE524434 JFG524434:JFI524434 IVK524434:IVM524434 ILO524434:ILQ524434 IBS524434:IBU524434 HRW524434:HRY524434 HIA524434:HIC524434 GYE524434:GYG524434 GOI524434:GOK524434 GEM524434:GEO524434 FUQ524434:FUS524434 FKU524434:FKW524434 FAY524434:FBA524434 ERC524434:ERE524434 EHG524434:EHI524434 DXK524434:DXM524434 DNO524434:DNQ524434 DDS524434:DDU524434 CTW524434:CTY524434 CKA524434:CKC524434 CAE524434:CAG524434 BQI524434:BQK524434 BGM524434:BGO524434 AWQ524434:AWS524434 AMU524434:AMW524434 ACY524434:ADA524434 TC524434:TE524434 JG524434:JI524434 K524434:M524434 WVS458898:WVU458898 WLW458898:WLY458898 WCA458898:WCC458898 VSE458898:VSG458898 VII458898:VIK458898 UYM458898:UYO458898 UOQ458898:UOS458898 UEU458898:UEW458898 TUY458898:TVA458898 TLC458898:TLE458898 TBG458898:TBI458898 SRK458898:SRM458898 SHO458898:SHQ458898 RXS458898:RXU458898 RNW458898:RNY458898 REA458898:REC458898 QUE458898:QUG458898 QKI458898:QKK458898 QAM458898:QAO458898 PQQ458898:PQS458898 PGU458898:PGW458898 OWY458898:OXA458898 ONC458898:ONE458898 ODG458898:ODI458898 NTK458898:NTM458898 NJO458898:NJQ458898 MZS458898:MZU458898 MPW458898:MPY458898 MGA458898:MGC458898 LWE458898:LWG458898 LMI458898:LMK458898 LCM458898:LCO458898 KSQ458898:KSS458898 KIU458898:KIW458898 JYY458898:JZA458898 JPC458898:JPE458898 JFG458898:JFI458898 IVK458898:IVM458898 ILO458898:ILQ458898 IBS458898:IBU458898 HRW458898:HRY458898 HIA458898:HIC458898 GYE458898:GYG458898 GOI458898:GOK458898 GEM458898:GEO458898 FUQ458898:FUS458898 FKU458898:FKW458898 FAY458898:FBA458898 ERC458898:ERE458898 EHG458898:EHI458898 DXK458898:DXM458898 DNO458898:DNQ458898 DDS458898:DDU458898 CTW458898:CTY458898 CKA458898:CKC458898 CAE458898:CAG458898 BQI458898:BQK458898 BGM458898:BGO458898 AWQ458898:AWS458898 AMU458898:AMW458898 ACY458898:ADA458898 TC458898:TE458898 JG458898:JI458898 K458898:M458898 WVS393362:WVU393362 WLW393362:WLY393362 WCA393362:WCC393362 VSE393362:VSG393362 VII393362:VIK393362 UYM393362:UYO393362 UOQ393362:UOS393362 UEU393362:UEW393362 TUY393362:TVA393362 TLC393362:TLE393362 TBG393362:TBI393362 SRK393362:SRM393362 SHO393362:SHQ393362 RXS393362:RXU393362 RNW393362:RNY393362 REA393362:REC393362 QUE393362:QUG393362 QKI393362:QKK393362 QAM393362:QAO393362 PQQ393362:PQS393362 PGU393362:PGW393362 OWY393362:OXA393362 ONC393362:ONE393362 ODG393362:ODI393362 NTK393362:NTM393362 NJO393362:NJQ393362 MZS393362:MZU393362 MPW393362:MPY393362 MGA393362:MGC393362 LWE393362:LWG393362 LMI393362:LMK393362 LCM393362:LCO393362 KSQ393362:KSS393362 KIU393362:KIW393362 JYY393362:JZA393362 JPC393362:JPE393362 JFG393362:JFI393362 IVK393362:IVM393362 ILO393362:ILQ393362 IBS393362:IBU393362 HRW393362:HRY393362 HIA393362:HIC393362 GYE393362:GYG393362 GOI393362:GOK393362 GEM393362:GEO393362 FUQ393362:FUS393362 FKU393362:FKW393362 FAY393362:FBA393362 ERC393362:ERE393362 EHG393362:EHI393362 DXK393362:DXM393362 DNO393362:DNQ393362 DDS393362:DDU393362 CTW393362:CTY393362 CKA393362:CKC393362 CAE393362:CAG393362 BQI393362:BQK393362 BGM393362:BGO393362 AWQ393362:AWS393362 AMU393362:AMW393362 ACY393362:ADA393362 TC393362:TE393362 JG393362:JI393362 K393362:M393362 WVS327826:WVU327826 WLW327826:WLY327826 WCA327826:WCC327826 VSE327826:VSG327826 VII327826:VIK327826 UYM327826:UYO327826 UOQ327826:UOS327826 UEU327826:UEW327826 TUY327826:TVA327826 TLC327826:TLE327826 TBG327826:TBI327826 SRK327826:SRM327826 SHO327826:SHQ327826 RXS327826:RXU327826 RNW327826:RNY327826 REA327826:REC327826 QUE327826:QUG327826 QKI327826:QKK327826 QAM327826:QAO327826 PQQ327826:PQS327826 PGU327826:PGW327826 OWY327826:OXA327826 ONC327826:ONE327826 ODG327826:ODI327826 NTK327826:NTM327826 NJO327826:NJQ327826 MZS327826:MZU327826 MPW327826:MPY327826 MGA327826:MGC327826 LWE327826:LWG327826 LMI327826:LMK327826 LCM327826:LCO327826 KSQ327826:KSS327826 KIU327826:KIW327826 JYY327826:JZA327826 JPC327826:JPE327826 JFG327826:JFI327826 IVK327826:IVM327826 ILO327826:ILQ327826 IBS327826:IBU327826 HRW327826:HRY327826 HIA327826:HIC327826 GYE327826:GYG327826 GOI327826:GOK327826 GEM327826:GEO327826 FUQ327826:FUS327826 FKU327826:FKW327826 FAY327826:FBA327826 ERC327826:ERE327826 EHG327826:EHI327826 DXK327826:DXM327826 DNO327826:DNQ327826 DDS327826:DDU327826 CTW327826:CTY327826 CKA327826:CKC327826 CAE327826:CAG327826 BQI327826:BQK327826 BGM327826:BGO327826 AWQ327826:AWS327826 AMU327826:AMW327826 ACY327826:ADA327826 TC327826:TE327826 JG327826:JI327826 K327826:M327826 WVS262290:WVU262290 WLW262290:WLY262290 WCA262290:WCC262290 VSE262290:VSG262290 VII262290:VIK262290 UYM262290:UYO262290 UOQ262290:UOS262290 UEU262290:UEW262290 TUY262290:TVA262290 TLC262290:TLE262290 TBG262290:TBI262290 SRK262290:SRM262290 SHO262290:SHQ262290 RXS262290:RXU262290 RNW262290:RNY262290 REA262290:REC262290 QUE262290:QUG262290 QKI262290:QKK262290 QAM262290:QAO262290 PQQ262290:PQS262290 PGU262290:PGW262290 OWY262290:OXA262290 ONC262290:ONE262290 ODG262290:ODI262290 NTK262290:NTM262290 NJO262290:NJQ262290 MZS262290:MZU262290 MPW262290:MPY262290 MGA262290:MGC262290 LWE262290:LWG262290 LMI262290:LMK262290 LCM262290:LCO262290 KSQ262290:KSS262290 KIU262290:KIW262290 JYY262290:JZA262290 JPC262290:JPE262290 JFG262290:JFI262290 IVK262290:IVM262290 ILO262290:ILQ262290 IBS262290:IBU262290 HRW262290:HRY262290 HIA262290:HIC262290 GYE262290:GYG262290 GOI262290:GOK262290 GEM262290:GEO262290 FUQ262290:FUS262290 FKU262290:FKW262290 FAY262290:FBA262290 ERC262290:ERE262290 EHG262290:EHI262290 DXK262290:DXM262290 DNO262290:DNQ262290 DDS262290:DDU262290 CTW262290:CTY262290 CKA262290:CKC262290 CAE262290:CAG262290 BQI262290:BQK262290 BGM262290:BGO262290 AWQ262290:AWS262290 AMU262290:AMW262290 ACY262290:ADA262290 TC262290:TE262290 JG262290:JI262290 K262290:M262290 WVS196754:WVU196754 WLW196754:WLY196754 WCA196754:WCC196754 VSE196754:VSG196754 VII196754:VIK196754 UYM196754:UYO196754 UOQ196754:UOS196754 UEU196754:UEW196754 TUY196754:TVA196754 TLC196754:TLE196754 TBG196754:TBI196754 SRK196754:SRM196754 SHO196754:SHQ196754 RXS196754:RXU196754 RNW196754:RNY196754 REA196754:REC196754 QUE196754:QUG196754 QKI196754:QKK196754 QAM196754:QAO196754 PQQ196754:PQS196754 PGU196754:PGW196754 OWY196754:OXA196754 ONC196754:ONE196754 ODG196754:ODI196754 NTK196754:NTM196754 NJO196754:NJQ196754 MZS196754:MZU196754 MPW196754:MPY196754 MGA196754:MGC196754 LWE196754:LWG196754 LMI196754:LMK196754 LCM196754:LCO196754 KSQ196754:KSS196754 KIU196754:KIW196754 JYY196754:JZA196754 JPC196754:JPE196754 JFG196754:JFI196754 IVK196754:IVM196754 ILO196754:ILQ196754 IBS196754:IBU196754 HRW196754:HRY196754 HIA196754:HIC196754 GYE196754:GYG196754 GOI196754:GOK196754 GEM196754:GEO196754 FUQ196754:FUS196754 FKU196754:FKW196754 FAY196754:FBA196754 ERC196754:ERE196754 EHG196754:EHI196754 DXK196754:DXM196754 DNO196754:DNQ196754 DDS196754:DDU196754 CTW196754:CTY196754 CKA196754:CKC196754 CAE196754:CAG196754 BQI196754:BQK196754 BGM196754:BGO196754 AWQ196754:AWS196754 AMU196754:AMW196754 ACY196754:ADA196754 TC196754:TE196754 JG196754:JI196754 K196754:M196754 WVS131218:WVU131218 WLW131218:WLY131218 WCA131218:WCC131218 VSE131218:VSG131218 VII131218:VIK131218 UYM131218:UYO131218 UOQ131218:UOS131218 UEU131218:UEW131218 TUY131218:TVA131218 TLC131218:TLE131218 TBG131218:TBI131218 SRK131218:SRM131218 SHO131218:SHQ131218 RXS131218:RXU131218 RNW131218:RNY131218 REA131218:REC131218 QUE131218:QUG131218 QKI131218:QKK131218 QAM131218:QAO131218 PQQ131218:PQS131218 PGU131218:PGW131218 OWY131218:OXA131218 ONC131218:ONE131218 ODG131218:ODI131218 NTK131218:NTM131218 NJO131218:NJQ131218 MZS131218:MZU131218 MPW131218:MPY131218 MGA131218:MGC131218 LWE131218:LWG131218 LMI131218:LMK131218 LCM131218:LCO131218 KSQ131218:KSS131218 KIU131218:KIW131218 JYY131218:JZA131218 JPC131218:JPE131218 JFG131218:JFI131218 IVK131218:IVM131218 ILO131218:ILQ131218 IBS131218:IBU131218 HRW131218:HRY131218 HIA131218:HIC131218 GYE131218:GYG131218 GOI131218:GOK131218 GEM131218:GEO131218 FUQ131218:FUS131218 FKU131218:FKW131218 FAY131218:FBA131218 ERC131218:ERE131218 EHG131218:EHI131218 DXK131218:DXM131218 DNO131218:DNQ131218 DDS131218:DDU131218 CTW131218:CTY131218 CKA131218:CKC131218 CAE131218:CAG131218 BQI131218:BQK131218 BGM131218:BGO131218 AWQ131218:AWS131218 AMU131218:AMW131218 ACY131218:ADA131218 TC131218:TE131218 JG131218:JI131218 K131218:M131218 WVS65682:WVU65682 WLW65682:WLY65682 WCA65682:WCC65682 VSE65682:VSG65682 VII65682:VIK65682 UYM65682:UYO65682 UOQ65682:UOS65682 UEU65682:UEW65682 TUY65682:TVA65682 TLC65682:TLE65682 TBG65682:TBI65682 SRK65682:SRM65682 SHO65682:SHQ65682 RXS65682:RXU65682 RNW65682:RNY65682 REA65682:REC65682 QUE65682:QUG65682 QKI65682:QKK65682 QAM65682:QAO65682 PQQ65682:PQS65682 PGU65682:PGW65682 OWY65682:OXA65682 ONC65682:ONE65682 ODG65682:ODI65682 NTK65682:NTM65682 NJO65682:NJQ65682 MZS65682:MZU65682 MPW65682:MPY65682 MGA65682:MGC65682 LWE65682:LWG65682 LMI65682:LMK65682 LCM65682:LCO65682 KSQ65682:KSS65682 KIU65682:KIW65682 JYY65682:JZA65682 JPC65682:JPE65682 JFG65682:JFI65682 IVK65682:IVM65682 ILO65682:ILQ65682 IBS65682:IBU65682 HRW65682:HRY65682 HIA65682:HIC65682 GYE65682:GYG65682 GOI65682:GOK65682 GEM65682:GEO65682 FUQ65682:FUS65682 FKU65682:FKW65682 FAY65682:FBA65682 ERC65682:ERE65682 EHG65682:EHI65682 DXK65682:DXM65682 DNO65682:DNQ65682 DDS65682:DDU65682 CTW65682:CTY65682 CKA65682:CKC65682 CAE65682:CAG65682 BQI65682:BQK65682 BGM65682:BGO65682 AWQ65682:AWS65682 AMU65682:AMW65682 ACY65682:ADA65682 TC65682:TE65682 JG65682:JI65682 K65682:M65682 WVS146:WVU146 WLW146:WLY146 WCA146:WCC146 VSE146:VSG146 VII146:VIK146 UYM146:UYO146 UOQ146:UOS146 UEU146:UEW146 TUY146:TVA146 TLC146:TLE146 TBG146:TBI146 SRK146:SRM146 SHO146:SHQ146 RXS146:RXU146 RNW146:RNY146 REA146:REC146 QUE146:QUG146 QKI146:QKK146 QAM146:QAO146 PQQ146:PQS146 PGU146:PGW146 OWY146:OXA146 ONC146:ONE146 ODG146:ODI146 NTK146:NTM146 NJO146:NJQ146 MZS146:MZU146 MPW146:MPY146 MGA146:MGC146 LWE146:LWG146 LMI146:LMK146 LCM146:LCO146 KSQ146:KSS146 KIU146:KIW146 JYY146:JZA146 JPC146:JPE146 JFG146:JFI146 IVK146:IVM146 ILO146:ILQ146 IBS146:IBU146 HRW146:HRY146 HIA146:HIC146 GYE146:GYG146 GOI146:GOK146 GEM146:GEO146 FUQ146:FUS146 FKU146:FKW146 FAY146:FBA146 ERC146:ERE146 EHG146:EHI146 DXK146:DXM146 DNO146:DNQ146 DDS146:DDU146 CTW146:CTY146 CKA146:CKC146 CAE146:CAG146 BQI146:BQK146 BGM146:BGO146 AWQ146:AWS146 AMU146:AMW146 ACY146:ADA146 TC146:TE146 JG146:JI146" xr:uid="{00000000-0002-0000-0100-000000000000}">
      <formula1>$S$9:$S$10</formula1>
    </dataValidation>
  </dataValidations>
  <pageMargins left="0.78740157480314965" right="0.39370078740157483" top="0.19685039370078741" bottom="0.19685039370078741" header="0.39370078740157483" footer="0.39370078740157483"/>
  <pageSetup paperSize="9" scale="59" fitToHeight="2" orientation="portrait" horizontalDpi="180" verticalDpi="180" r:id="rId1"/>
  <headerFooter alignWithMargins="0"/>
  <rowBreaks count="2" manualBreakCount="2">
    <brk id="74" max="13" man="1"/>
    <brk id="137" max="13" man="1"/>
  </rowBreaks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>
              <from>
                <xdr:col>0</xdr:col>
                <xdr:colOff>76200</xdr:colOff>
                <xdr:row>1</xdr:row>
                <xdr:rowOff>123825</xdr:rowOff>
              </from>
              <to>
                <xdr:col>2</xdr:col>
                <xdr:colOff>95250</xdr:colOff>
                <xdr:row>3</xdr:row>
                <xdr:rowOff>161925</xdr:rowOff>
              </to>
            </anchor>
          </objectPr>
        </oleObject>
      </mc:Choice>
      <mc:Fallback>
        <oleObject progId="Word.Picture.8" shapeId="2049" r:id="rId4"/>
      </mc:Fallback>
    </mc:AlternateContent>
    <mc:AlternateContent xmlns:mc="http://schemas.openxmlformats.org/markup-compatibility/2006">
      <mc:Choice Requires="x14">
        <oleObject progId="Word.Picture.8" shapeId="2050" r:id="rId6">
          <objectPr defaultSize="0" autoPict="0" r:id="rId5">
            <anchor moveWithCells="1">
              <from>
                <xdr:col>0</xdr:col>
                <xdr:colOff>19050</xdr:colOff>
                <xdr:row>75</xdr:row>
                <xdr:rowOff>133350</xdr:rowOff>
              </from>
              <to>
                <xdr:col>1</xdr:col>
                <xdr:colOff>533400</xdr:colOff>
                <xdr:row>77</xdr:row>
                <xdr:rowOff>85725</xdr:rowOff>
              </to>
            </anchor>
          </objectPr>
        </oleObject>
      </mc:Choice>
      <mc:Fallback>
        <oleObject progId="Word.Picture.8" shapeId="2050" r:id="rId6"/>
      </mc:Fallback>
    </mc:AlternateContent>
    <mc:AlternateContent xmlns:mc="http://schemas.openxmlformats.org/markup-compatibility/2006">
      <mc:Choice Requires="x14">
        <oleObject progId="Word.Picture.8" shapeId="2051" r:id="rId7">
          <objectPr defaultSize="0" autoPict="0" r:id="rId5">
            <anchor moveWithCells="1">
              <from>
                <xdr:col>0</xdr:col>
                <xdr:colOff>66675</xdr:colOff>
                <xdr:row>75</xdr:row>
                <xdr:rowOff>38100</xdr:rowOff>
              </from>
              <to>
                <xdr:col>2</xdr:col>
                <xdr:colOff>85725</xdr:colOff>
                <xdr:row>77</xdr:row>
                <xdr:rowOff>85725</xdr:rowOff>
              </to>
            </anchor>
          </objectPr>
        </oleObject>
      </mc:Choice>
      <mc:Fallback>
        <oleObject progId="Word.Picture.8" shapeId="2051" r:id="rId7"/>
      </mc:Fallback>
    </mc:AlternateContent>
    <mc:AlternateContent xmlns:mc="http://schemas.openxmlformats.org/markup-compatibility/2006">
      <mc:Choice Requires="x14">
        <oleObject progId="Word.Picture.8" shapeId="2053" r:id="rId8">
          <objectPr defaultSize="0" autoPict="0" r:id="rId5">
            <anchor moveWithCells="1">
              <from>
                <xdr:col>0</xdr:col>
                <xdr:colOff>247650</xdr:colOff>
                <xdr:row>138</xdr:row>
                <xdr:rowOff>76200</xdr:rowOff>
              </from>
              <to>
                <xdr:col>2</xdr:col>
                <xdr:colOff>219075</xdr:colOff>
                <xdr:row>140</xdr:row>
                <xdr:rowOff>123825</xdr:rowOff>
              </to>
            </anchor>
          </objectPr>
        </oleObject>
      </mc:Choice>
      <mc:Fallback>
        <oleObject progId="Word.Picture.8" shapeId="2053" r:id="rId8"/>
      </mc:Fallback>
    </mc:AlternateContent>
  </oleObjects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2" r:id="rId9" name="Drop Down 4">
              <controlPr defaultSize="0" autoLine="0" autoPict="0">
                <anchor>
                  <from>
                    <xdr:col>2</xdr:col>
                    <xdr:colOff>342900</xdr:colOff>
                    <xdr:row>9</xdr:row>
                    <xdr:rowOff>19050</xdr:rowOff>
                  </from>
                  <to>
                    <xdr:col>3</xdr:col>
                    <xdr:colOff>476250</xdr:colOff>
                    <xdr:row>10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122"/>
  <sheetViews>
    <sheetView showZeros="0" zoomScaleNormal="100" zoomScaleSheetLayoutView="72" workbookViewId="0">
      <selection activeCell="W27" sqref="W27"/>
    </sheetView>
  </sheetViews>
  <sheetFormatPr defaultColWidth="16" defaultRowHeight="15" customHeight="1"/>
  <cols>
    <col min="1" max="1" width="16" style="226" customWidth="1"/>
    <col min="2" max="8" width="16" style="277" customWidth="1"/>
    <col min="9" max="9" width="16" style="278" customWidth="1"/>
    <col min="10" max="16384" width="16" style="226"/>
  </cols>
  <sheetData>
    <row r="1" spans="1:29" ht="16.5" customHeight="1">
      <c r="A1" s="221"/>
      <c r="B1" s="222"/>
      <c r="C1" s="223"/>
      <c r="D1" s="222"/>
      <c r="E1" s="222"/>
      <c r="F1" s="222"/>
      <c r="G1" s="222"/>
      <c r="H1" s="222"/>
      <c r="I1" s="222"/>
      <c r="J1" s="224"/>
      <c r="K1" s="224"/>
      <c r="L1" s="222"/>
      <c r="M1" s="225"/>
      <c r="N1" s="222"/>
      <c r="O1" s="225"/>
    </row>
    <row r="2" spans="1:29" ht="16.5" customHeight="1">
      <c r="A2" s="227"/>
      <c r="B2" s="228"/>
      <c r="C2" s="229"/>
      <c r="D2" s="228"/>
      <c r="E2" s="230"/>
      <c r="F2" s="230"/>
      <c r="G2" s="228"/>
      <c r="H2" s="228" t="str">
        <f>RESUM!G2</f>
        <v>MAC QT 160 P</v>
      </c>
      <c r="I2" s="228"/>
      <c r="L2" s="231"/>
      <c r="M2" s="232"/>
      <c r="N2" s="231"/>
      <c r="O2" s="232"/>
    </row>
    <row r="3" spans="1:29" ht="16.5" customHeight="1">
      <c r="A3" s="227"/>
      <c r="B3" s="230"/>
      <c r="C3" s="233"/>
      <c r="D3" s="230"/>
      <c r="E3" s="230"/>
      <c r="F3" s="230"/>
      <c r="G3" s="230"/>
      <c r="H3" s="230"/>
      <c r="I3" s="230"/>
      <c r="L3" s="231"/>
      <c r="M3" s="438"/>
      <c r="N3" s="231"/>
      <c r="O3" s="438"/>
    </row>
    <row r="4" spans="1:29" ht="16.5" customHeight="1">
      <c r="A4" s="227"/>
      <c r="B4" s="234"/>
      <c r="C4" s="235"/>
      <c r="D4" s="234"/>
      <c r="E4" s="230"/>
      <c r="F4" s="230"/>
      <c r="G4" s="234"/>
      <c r="H4" s="234" t="s">
        <v>143</v>
      </c>
      <c r="I4" s="234"/>
      <c r="L4" s="231"/>
      <c r="M4" s="232"/>
      <c r="N4" s="231"/>
      <c r="O4" s="232"/>
    </row>
    <row r="5" spans="1:29" ht="16.5" customHeight="1">
      <c r="A5" s="227"/>
      <c r="B5" s="230"/>
      <c r="C5" s="233"/>
      <c r="D5" s="230"/>
      <c r="E5" s="230"/>
      <c r="F5" s="230"/>
      <c r="G5" s="230"/>
      <c r="H5" s="230"/>
      <c r="I5" s="230"/>
      <c r="L5" s="231"/>
      <c r="M5" s="236"/>
      <c r="N5" s="231" t="s">
        <v>144</v>
      </c>
      <c r="O5" s="236">
        <f>RESUM!O5</f>
        <v>45239</v>
      </c>
    </row>
    <row r="6" spans="1:29" ht="16.5" customHeight="1" thickBot="1">
      <c r="A6" s="237"/>
      <c r="B6" s="238"/>
      <c r="C6" s="239"/>
      <c r="D6" s="238"/>
      <c r="E6" s="238"/>
      <c r="F6" s="238"/>
      <c r="G6" s="238"/>
      <c r="H6" s="238"/>
      <c r="I6" s="238"/>
      <c r="J6" s="240"/>
      <c r="K6" s="240"/>
      <c r="L6" s="238"/>
      <c r="M6" s="241"/>
      <c r="N6" s="238"/>
      <c r="O6" s="241"/>
    </row>
    <row r="7" spans="1:29" s="246" customFormat="1" ht="16.5" customHeight="1">
      <c r="A7" s="242"/>
      <c r="B7" s="243"/>
      <c r="C7" s="243"/>
      <c r="D7" s="243"/>
      <c r="E7" s="243"/>
      <c r="F7" s="243"/>
      <c r="G7" s="243"/>
      <c r="H7" s="243"/>
      <c r="I7" s="244"/>
      <c r="J7" s="243"/>
      <c r="K7" s="245"/>
      <c r="L7" s="245"/>
      <c r="M7" s="245"/>
      <c r="N7" s="245"/>
      <c r="O7" s="245"/>
      <c r="P7" s="245"/>
      <c r="Q7" s="245"/>
      <c r="R7" s="245"/>
      <c r="S7" s="245"/>
      <c r="T7" s="245"/>
      <c r="U7" s="245"/>
      <c r="V7" s="245"/>
      <c r="W7" s="245"/>
      <c r="X7" s="245"/>
      <c r="Y7" s="245"/>
      <c r="Z7" s="245"/>
      <c r="AA7" s="245"/>
      <c r="AB7" s="245"/>
      <c r="AC7" s="245"/>
    </row>
    <row r="8" spans="1:29" ht="16.5" customHeight="1">
      <c r="A8" s="252"/>
      <c r="B8" s="248" t="str">
        <f>RESUM!B8</f>
        <v>MAC QT 160 P</v>
      </c>
      <c r="C8" s="248" t="str">
        <f>RESUM!C8</f>
        <v>MAC QT 160 P</v>
      </c>
      <c r="D8" s="248" t="str">
        <f>RESUM!D8</f>
        <v>MAC QT 160 P</v>
      </c>
      <c r="E8" s="248" t="str">
        <f>RESUM!E8</f>
        <v>MAC QT 160 P</v>
      </c>
      <c r="F8" s="248" t="str">
        <f>RESUM!F8</f>
        <v>MAC QT 160 P</v>
      </c>
      <c r="G8" s="248" t="str">
        <f>RESUM!G8</f>
        <v>MAC QT 160 P</v>
      </c>
      <c r="H8" s="248" t="str">
        <f>RESUM!H8</f>
        <v>MAC QT 160 P</v>
      </c>
      <c r="I8" s="248" t="str">
        <f>RESUM!I8</f>
        <v>MAC QT 160 P</v>
      </c>
      <c r="J8" s="248" t="str">
        <f>RESUM!J8</f>
        <v>MAC QT 160 P</v>
      </c>
      <c r="K8" s="248" t="str">
        <f>RESUM!K8</f>
        <v>MAC QT 160 P</v>
      </c>
      <c r="L8" s="248" t="str">
        <f>RESUM!L8</f>
        <v>MAC QT 160 P</v>
      </c>
      <c r="M8" s="248" t="str">
        <f>RESUM!M8</f>
        <v>MAC QT 160 P</v>
      </c>
      <c r="N8" s="392" t="str">
        <f>RESUM!N8</f>
        <v>MAC QT 160 P</v>
      </c>
      <c r="O8" s="392" t="str">
        <f>RESUM!O8</f>
        <v>MAC QT 160 P</v>
      </c>
    </row>
    <row r="9" spans="1:29" s="250" customFormat="1" ht="16.5" customHeight="1">
      <c r="A9" s="249"/>
      <c r="B9" s="375" t="str">
        <f>RESUM!B9</f>
        <v>A41</v>
      </c>
      <c r="C9" s="375" t="str">
        <f>RESUM!C9</f>
        <v>B41</v>
      </c>
      <c r="D9" s="375" t="str">
        <f>RESUM!D9</f>
        <v>C41</v>
      </c>
      <c r="E9" s="375" t="str">
        <f>RESUM!E9</f>
        <v>D41</v>
      </c>
      <c r="F9" s="375" t="str">
        <f>RESUM!F9</f>
        <v>E41</v>
      </c>
      <c r="G9" s="375" t="str">
        <f>RESUM!G9</f>
        <v>F41</v>
      </c>
      <c r="H9" s="375" t="str">
        <f>RESUM!H9</f>
        <v>G41</v>
      </c>
      <c r="I9" s="375" t="str">
        <f>RESUM!I9</f>
        <v>H41</v>
      </c>
      <c r="J9" s="375" t="str">
        <f>RESUM!J9</f>
        <v>I41</v>
      </c>
      <c r="K9" s="375" t="str">
        <f>RESUM!K9</f>
        <v>F42</v>
      </c>
      <c r="L9" s="375" t="str">
        <f>RESUM!L9</f>
        <v>G42</v>
      </c>
      <c r="M9" s="375" t="str">
        <f>RESUM!M9</f>
        <v>H42</v>
      </c>
      <c r="N9" s="393">
        <f>RESUM!N9</f>
        <v>0</v>
      </c>
      <c r="O9" s="393">
        <f>RESUM!O9</f>
        <v>0</v>
      </c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</row>
    <row r="10" spans="1:29" ht="16.5" customHeight="1">
      <c r="A10" s="283" t="s">
        <v>145</v>
      </c>
      <c r="B10" s="251">
        <f>RESUM!B10</f>
        <v>4</v>
      </c>
      <c r="C10" s="251">
        <f>RESUM!C10</f>
        <v>4</v>
      </c>
      <c r="D10" s="251">
        <f>RESUM!D10</f>
        <v>4</v>
      </c>
      <c r="E10" s="376">
        <f>RESUM!E10</f>
        <v>4</v>
      </c>
      <c r="F10" s="251">
        <f>RESUM!F10</f>
        <v>4</v>
      </c>
      <c r="G10" s="251">
        <f>RESUM!G10</f>
        <v>4</v>
      </c>
      <c r="H10" s="251">
        <f>RESUM!H10</f>
        <v>4</v>
      </c>
      <c r="I10" s="251">
        <f>RESUM!I10</f>
        <v>4</v>
      </c>
      <c r="J10" s="251">
        <f>RESUM!J10</f>
        <v>4</v>
      </c>
      <c r="K10" s="251">
        <f>RESUM!K10</f>
        <v>4</v>
      </c>
      <c r="L10" s="251">
        <f>RESUM!L10</f>
        <v>4</v>
      </c>
      <c r="M10" s="251">
        <f>RESUM!M10</f>
        <v>4</v>
      </c>
      <c r="N10" s="394">
        <f>RESUM!N10</f>
        <v>4</v>
      </c>
      <c r="O10" s="394">
        <f>RESUM!O10</f>
        <v>4</v>
      </c>
      <c r="S10" s="276"/>
      <c r="T10" s="276"/>
      <c r="U10" s="276"/>
      <c r="V10" s="276"/>
      <c r="W10" s="276"/>
    </row>
    <row r="11" spans="1:29" s="254" customFormat="1" ht="16.5" customHeight="1">
      <c r="A11" s="384" t="s">
        <v>79</v>
      </c>
      <c r="B11" s="253">
        <f>RESUM!B11</f>
        <v>540</v>
      </c>
      <c r="C11" s="253">
        <f>RESUM!C11</f>
        <v>540</v>
      </c>
      <c r="D11" s="253">
        <f>RESUM!D11</f>
        <v>540</v>
      </c>
      <c r="E11" s="377">
        <f>RESUM!E11</f>
        <v>540</v>
      </c>
      <c r="F11" s="253">
        <f>RESUM!F11</f>
        <v>540</v>
      </c>
      <c r="G11" s="253">
        <f>RESUM!G11</f>
        <v>540</v>
      </c>
      <c r="H11" s="253">
        <f>RESUM!H11</f>
        <v>540</v>
      </c>
      <c r="I11" s="253">
        <f>RESUM!I11</f>
        <v>540</v>
      </c>
      <c r="J11" s="253">
        <f>RESUM!J11</f>
        <v>540</v>
      </c>
      <c r="K11" s="253">
        <f>RESUM!K11</f>
        <v>520</v>
      </c>
      <c r="L11" s="253">
        <f>RESUM!L11</f>
        <v>500</v>
      </c>
      <c r="M11" s="253">
        <f>RESUM!M11</f>
        <v>480</v>
      </c>
      <c r="N11" s="395">
        <f>RESUM!N11</f>
        <v>0</v>
      </c>
      <c r="O11" s="395">
        <f>RESUM!O11</f>
        <v>0</v>
      </c>
      <c r="P11" s="226"/>
      <c r="Q11" s="226"/>
      <c r="R11" s="226"/>
      <c r="S11" s="276"/>
      <c r="T11" s="276"/>
      <c r="U11" s="276"/>
      <c r="V11" s="276"/>
      <c r="W11" s="276"/>
      <c r="X11" s="226"/>
      <c r="Y11" s="226"/>
      <c r="Z11" s="226"/>
      <c r="AA11" s="226"/>
      <c r="AB11" s="226"/>
      <c r="AC11" s="226"/>
    </row>
    <row r="12" spans="1:29" ht="16.5" customHeight="1">
      <c r="A12" s="227" t="s">
        <v>82</v>
      </c>
      <c r="B12" s="255">
        <f>'driving mode datasheet'!E27</f>
        <v>513</v>
      </c>
      <c r="C12" s="255">
        <f>'driving mode datasheet'!E28</f>
        <v>693</v>
      </c>
      <c r="D12" s="255">
        <f>'driving mode datasheet'!E29</f>
        <v>814</v>
      </c>
      <c r="E12" s="378">
        <f>'driving mode datasheet'!E30</f>
        <v>993</v>
      </c>
      <c r="F12" s="255">
        <f>'driving mode datasheet'!E31</f>
        <v>1113</v>
      </c>
      <c r="G12" s="255">
        <f>'driving mode datasheet'!E32</f>
        <v>1263</v>
      </c>
      <c r="H12" s="255">
        <f>'driving mode datasheet'!E33</f>
        <v>1443</v>
      </c>
      <c r="I12" s="255">
        <f>'driving mode datasheet'!E34</f>
        <v>1684</v>
      </c>
      <c r="J12" s="255">
        <f>'driving mode datasheet'!E35</f>
        <v>2043</v>
      </c>
      <c r="K12" s="255">
        <f>'driving mode datasheet'!E36</f>
        <v>2224</v>
      </c>
      <c r="L12" s="255">
        <f>'driving mode datasheet'!E37</f>
        <v>2555</v>
      </c>
      <c r="M12" s="255">
        <f>'driving mode datasheet'!E38</f>
        <v>2976</v>
      </c>
      <c r="N12" s="396">
        <f>'driving mode datasheet'!E39</f>
        <v>0</v>
      </c>
      <c r="O12" s="396">
        <f>'driving mode datasheet'!E40</f>
        <v>0</v>
      </c>
      <c r="S12" s="276"/>
      <c r="T12" s="276"/>
      <c r="U12" s="549">
        <f>RESUM!C10</f>
        <v>4</v>
      </c>
      <c r="V12" s="549">
        <f>RESUM!D10</f>
        <v>4</v>
      </c>
      <c r="W12" s="276"/>
    </row>
    <row r="13" spans="1:29" s="259" customFormat="1" ht="16.5" customHeight="1">
      <c r="A13" s="385" t="s">
        <v>81</v>
      </c>
      <c r="B13" s="257">
        <f>B11*B12*PI()/30000</f>
        <v>29.00946656324815</v>
      </c>
      <c r="C13" s="257">
        <f t="shared" ref="C13:K13" si="0">C11*C12*PI()/30000</f>
        <v>39.188226760879083</v>
      </c>
      <c r="D13" s="257">
        <f t="shared" si="0"/>
        <v>46.030615560397642</v>
      </c>
      <c r="E13" s="379">
        <f t="shared" si="0"/>
        <v>56.152827090263962</v>
      </c>
      <c r="F13" s="257">
        <f t="shared" si="0"/>
        <v>62.938667222017919</v>
      </c>
      <c r="G13" s="257">
        <f t="shared" si="0"/>
        <v>71.420967386710359</v>
      </c>
      <c r="H13" s="257">
        <f t="shared" si="0"/>
        <v>81.599727584341295</v>
      </c>
      <c r="I13" s="257">
        <f t="shared" si="0"/>
        <v>95.227956515613798</v>
      </c>
      <c r="J13" s="257">
        <f t="shared" si="0"/>
        <v>115.52892824311105</v>
      </c>
      <c r="K13" s="257">
        <f t="shared" si="0"/>
        <v>121.10630240078413</v>
      </c>
      <c r="L13" s="257">
        <f>L11*L12*PI()/30000</f>
        <v>133.77948716536534</v>
      </c>
      <c r="M13" s="257">
        <f>M11*M12*PI()/30000</f>
        <v>149.59007579333158</v>
      </c>
      <c r="N13" s="397">
        <f>N11*N12*PI()/30000</f>
        <v>0</v>
      </c>
      <c r="O13" s="397">
        <f>O11*O12*PI()/30000</f>
        <v>0</v>
      </c>
      <c r="P13" s="258"/>
      <c r="Q13" s="258"/>
      <c r="R13" s="258"/>
      <c r="S13" s="550"/>
      <c r="T13" s="550"/>
      <c r="U13" s="550"/>
      <c r="V13" s="550"/>
      <c r="W13" s="550"/>
      <c r="X13" s="258"/>
      <c r="Y13" s="258"/>
      <c r="Z13" s="258"/>
      <c r="AA13" s="258"/>
      <c r="AB13" s="258"/>
      <c r="AC13" s="258"/>
    </row>
    <row r="14" spans="1:29" s="254" customFormat="1" ht="16.5" customHeight="1">
      <c r="A14" s="384" t="s">
        <v>130</v>
      </c>
      <c r="B14" s="253">
        <f>'driving mode datasheet'!F21</f>
        <v>400</v>
      </c>
      <c r="C14" s="253">
        <f>B14</f>
        <v>400</v>
      </c>
      <c r="D14" s="253">
        <f t="shared" ref="D14:M14" si="1">C14</f>
        <v>400</v>
      </c>
      <c r="E14" s="377">
        <f t="shared" si="1"/>
        <v>400</v>
      </c>
      <c r="F14" s="253">
        <f t="shared" si="1"/>
        <v>400</v>
      </c>
      <c r="G14" s="253">
        <f t="shared" si="1"/>
        <v>400</v>
      </c>
      <c r="H14" s="253">
        <f t="shared" si="1"/>
        <v>400</v>
      </c>
      <c r="I14" s="253">
        <f t="shared" si="1"/>
        <v>400</v>
      </c>
      <c r="J14" s="253">
        <f t="shared" si="1"/>
        <v>400</v>
      </c>
      <c r="K14" s="253">
        <f t="shared" si="1"/>
        <v>400</v>
      </c>
      <c r="L14" s="253">
        <f t="shared" si="1"/>
        <v>400</v>
      </c>
      <c r="M14" s="253">
        <f t="shared" si="1"/>
        <v>400</v>
      </c>
      <c r="N14" s="395">
        <f t="shared" ref="N14" si="2">M14</f>
        <v>400</v>
      </c>
      <c r="O14" s="395">
        <f t="shared" ref="O14" si="3">N14</f>
        <v>400</v>
      </c>
      <c r="P14" s="226"/>
      <c r="Q14" s="226"/>
      <c r="R14" s="226"/>
      <c r="S14" s="276"/>
      <c r="T14" s="276"/>
      <c r="U14" s="276"/>
      <c r="V14" s="276"/>
      <c r="W14" s="276"/>
      <c r="X14" s="226"/>
      <c r="Y14" s="226"/>
      <c r="Z14" s="226"/>
      <c r="AA14" s="226"/>
      <c r="AB14" s="226"/>
      <c r="AC14" s="226"/>
    </row>
    <row r="15" spans="1:29" s="258" customFormat="1" ht="16.5" customHeight="1">
      <c r="A15" s="386" t="s">
        <v>35</v>
      </c>
      <c r="B15" s="261">
        <f>RESUM!B15</f>
        <v>57</v>
      </c>
      <c r="C15" s="261">
        <f>RESUM!C15</f>
        <v>75.2</v>
      </c>
      <c r="D15" s="261">
        <f>RESUM!D15</f>
        <v>87.1</v>
      </c>
      <c r="E15" s="380">
        <f>RESUM!E15</f>
        <v>104.9</v>
      </c>
      <c r="F15" s="261">
        <f>RESUM!F15</f>
        <v>116.4</v>
      </c>
      <c r="G15" s="261">
        <f>RESUM!G15</f>
        <v>130.9</v>
      </c>
      <c r="H15" s="261">
        <f>RESUM!H15</f>
        <v>149.4</v>
      </c>
      <c r="I15" s="261">
        <f>RESUM!I15</f>
        <v>174.3</v>
      </c>
      <c r="J15" s="261">
        <f>RESUM!J15</f>
        <v>208.9</v>
      </c>
      <c r="K15" s="261">
        <f>RESUM!K15</f>
        <v>219.3</v>
      </c>
      <c r="L15" s="261">
        <f>RESUM!L15</f>
        <v>242.9</v>
      </c>
      <c r="M15" s="261">
        <f>RESUM!M15</f>
        <v>274.60000000000002</v>
      </c>
      <c r="N15" s="398">
        <f>RESUM!N15</f>
        <v>0</v>
      </c>
      <c r="O15" s="398">
        <f>RESUM!O15</f>
        <v>0</v>
      </c>
    </row>
    <row r="16" spans="1:29" ht="16.5" customHeight="1">
      <c r="A16" s="247" t="s">
        <v>83</v>
      </c>
      <c r="B16" s="261">
        <f>'driving mode datasheet'!F27</f>
        <v>18</v>
      </c>
      <c r="C16" s="261">
        <f>'driving mode datasheet'!F28</f>
        <v>24</v>
      </c>
      <c r="D16" s="261">
        <f>'driving mode datasheet'!F29</f>
        <v>28</v>
      </c>
      <c r="E16" s="261">
        <f>'driving mode datasheet'!F30</f>
        <v>34</v>
      </c>
      <c r="F16" s="261">
        <f>'driving mode datasheet'!F31</f>
        <v>38</v>
      </c>
      <c r="G16" s="261">
        <f>'driving mode datasheet'!F32</f>
        <v>43</v>
      </c>
      <c r="H16" s="261">
        <f>'driving mode datasheet'!F33</f>
        <v>49</v>
      </c>
      <c r="I16" s="261">
        <f>'driving mode datasheet'!F34</f>
        <v>57</v>
      </c>
      <c r="J16" s="261">
        <f>'driving mode datasheet'!F35</f>
        <v>69</v>
      </c>
      <c r="K16" s="261">
        <f>'driving mode datasheet'!F36</f>
        <v>75</v>
      </c>
      <c r="L16" s="261">
        <f>'driving mode datasheet'!F37</f>
        <v>86</v>
      </c>
      <c r="M16" s="261">
        <f>'driving mode datasheet'!F38</f>
        <v>100</v>
      </c>
      <c r="N16" s="398">
        <f>'driving mode datasheet'!F39</f>
        <v>0</v>
      </c>
      <c r="O16" s="398">
        <f>'driving mode datasheet'!F40</f>
        <v>0</v>
      </c>
    </row>
    <row r="17" spans="1:29" ht="16.5" customHeight="1">
      <c r="A17" s="247" t="s">
        <v>133</v>
      </c>
      <c r="B17" s="262">
        <f>B13/B18*1000/B14/B15/3^0.5</f>
        <v>0.83959535244219374</v>
      </c>
      <c r="C17" s="262">
        <f t="shared" ref="C17:K17" si="4">C13/C18*1000/C14/C15/3^0.5</f>
        <v>0.83682695557817899</v>
      </c>
      <c r="D17" s="262">
        <f t="shared" si="4"/>
        <v>0.83610318033341158</v>
      </c>
      <c r="E17" s="262">
        <f t="shared" si="4"/>
        <v>0.83529740643157846</v>
      </c>
      <c r="F17" s="262">
        <f t="shared" si="4"/>
        <v>0.83756679741303308</v>
      </c>
      <c r="G17" s="262">
        <f t="shared" si="4"/>
        <v>0.83948844328330163</v>
      </c>
      <c r="H17" s="262">
        <f t="shared" si="4"/>
        <v>0.83471839439777928</v>
      </c>
      <c r="I17" s="262">
        <f t="shared" si="4"/>
        <v>0.82950755845365565</v>
      </c>
      <c r="J17" s="262">
        <f t="shared" si="4"/>
        <v>0.83436037997508239</v>
      </c>
      <c r="K17" s="262">
        <f t="shared" si="4"/>
        <v>0.83077531715967501</v>
      </c>
      <c r="L17" s="262">
        <f>L13/L18*1000/L14/L15/3^0.5</f>
        <v>0.82549518324016746</v>
      </c>
      <c r="M17" s="262">
        <f>M13/M18*1000/M14/M15/3^0.5</f>
        <v>0.81405128743680499</v>
      </c>
      <c r="N17" s="399" t="e">
        <f>N13/N18*1000/N14/N15/3^0.5</f>
        <v>#DIV/0!</v>
      </c>
      <c r="O17" s="399" t="e">
        <f>O13/O18*1000/O14/O15/3^0.5</f>
        <v>#DIV/0!</v>
      </c>
    </row>
    <row r="18" spans="1:29" s="250" customFormat="1" ht="16.5" customHeight="1">
      <c r="A18" s="249" t="s">
        <v>146</v>
      </c>
      <c r="B18" s="263">
        <f>B13*1000/(B13*1000+3*B23/1000*B15^2+3*B24/1000*(B15^2-B32^2)+3*(2*PI()*B16*B28/1000*B32)^2/B25)</f>
        <v>0.87493188281486434</v>
      </c>
      <c r="C18" s="263">
        <f t="shared" ref="C18:K18" si="5">C13*1000/(C13*1000+3*C23/1000*C15^2+3*C24/1000*(C15^2-C32^2)+3*(2*PI()*C16*C28/1000*C32)^2/C25)</f>
        <v>0.89883813932880097</v>
      </c>
      <c r="D18" s="263">
        <f t="shared" si="5"/>
        <v>0.91232197040096519</v>
      </c>
      <c r="E18" s="263">
        <f t="shared" si="5"/>
        <v>0.92498435338333063</v>
      </c>
      <c r="F18" s="263">
        <f t="shared" si="5"/>
        <v>0.9318038280654164</v>
      </c>
      <c r="G18" s="263">
        <f t="shared" si="5"/>
        <v>0.93810346754101459</v>
      </c>
      <c r="H18" s="263">
        <f t="shared" si="5"/>
        <v>0.94444682015064407</v>
      </c>
      <c r="I18" s="263">
        <f t="shared" si="5"/>
        <v>0.95066194949810567</v>
      </c>
      <c r="J18" s="263">
        <f t="shared" si="5"/>
        <v>0.95670493135244472</v>
      </c>
      <c r="K18" s="263">
        <f t="shared" si="5"/>
        <v>0.95945345093790591</v>
      </c>
      <c r="L18" s="263">
        <f>L13*1000/(L13*1000+3*L23/1000*L15^2+3*L24/1000*(L15^2-L32^2)+3*(2*PI()*L16*L28/1000*L32)^2/L25)</f>
        <v>0.96300124764482398</v>
      </c>
      <c r="M18" s="263">
        <f>M13*1000/(M13*1000+3*M23/1000*M15^2+3*M24/1000*(M15^2-M32^2)+3*(2*PI()*M16*M28/1000*M32)^2/M25)</f>
        <v>0.96589487818245279</v>
      </c>
      <c r="N18" s="400" t="e">
        <f>N13*1000/(N13*1000+3*N23/1000*N15^2+3*N24/1000*(N15^2-N32^2)+3*(2*PI()*N16*N28/1000*N32)^2/N25)</f>
        <v>#DIV/0!</v>
      </c>
      <c r="O18" s="400" t="e">
        <f>O13*1000/(O13*1000+3*O23/1000*O15^2+3*O24/1000*(O15^2-O32^2)+3*(2*PI()*O16*O28/1000*O32)^2/O25)</f>
        <v>#DIV/0!</v>
      </c>
      <c r="P18" s="226"/>
      <c r="Q18" s="226"/>
      <c r="R18" s="226"/>
      <c r="S18" s="226"/>
      <c r="T18" s="226"/>
      <c r="U18" s="226"/>
      <c r="V18" s="226"/>
      <c r="W18" s="226"/>
      <c r="X18" s="226"/>
      <c r="Y18" s="226"/>
      <c r="Z18" s="226"/>
      <c r="AA18" s="226"/>
      <c r="AB18" s="226"/>
      <c r="AC18" s="226"/>
    </row>
    <row r="19" spans="1:29" ht="16.5" customHeight="1">
      <c r="A19" s="247" t="s">
        <v>147</v>
      </c>
      <c r="B19" s="264">
        <f>RESUM!B19</f>
        <v>0.46263199999999999</v>
      </c>
      <c r="C19" s="264">
        <f>RESUM!C19</f>
        <v>0.46263199999999999</v>
      </c>
      <c r="D19" s="264">
        <f>RESUM!D19</f>
        <v>0.46263199999999999</v>
      </c>
      <c r="E19" s="264">
        <f>RESUM!E19</f>
        <v>0.46263199999999999</v>
      </c>
      <c r="F19" s="264">
        <f>RESUM!F19</f>
        <v>0.46263199999999999</v>
      </c>
      <c r="G19" s="264">
        <f>RESUM!G19</f>
        <v>0.46263199999999999</v>
      </c>
      <c r="H19" s="264">
        <f>RESUM!H19</f>
        <v>0.46263199999999999</v>
      </c>
      <c r="I19" s="264">
        <f>RESUM!I19</f>
        <v>0.46263199999999999</v>
      </c>
      <c r="J19" s="264">
        <f>RESUM!J19</f>
        <v>0.46263199999999999</v>
      </c>
      <c r="K19" s="264">
        <f>RESUM!K19</f>
        <v>0.46263199999999999</v>
      </c>
      <c r="L19" s="264">
        <f>RESUM!L19</f>
        <v>0.46263199999999999</v>
      </c>
      <c r="M19" s="264">
        <f>RESUM!M19</f>
        <v>0.46263199999999999</v>
      </c>
      <c r="N19" s="401">
        <f>RESUM!N19</f>
        <v>0</v>
      </c>
      <c r="O19" s="401">
        <f>RESUM!O19</f>
        <v>0</v>
      </c>
    </row>
    <row r="20" spans="1:29" s="246" customFormat="1" ht="16.5" customHeight="1">
      <c r="A20" s="265"/>
      <c r="B20" s="243" t="s">
        <v>183</v>
      </c>
      <c r="C20" s="266"/>
      <c r="D20" s="266"/>
      <c r="E20" s="266"/>
      <c r="F20" s="266"/>
      <c r="G20" s="266"/>
      <c r="H20" s="266"/>
      <c r="I20" s="266"/>
      <c r="J20" s="266"/>
      <c r="K20" s="266"/>
      <c r="L20" s="266"/>
      <c r="M20" s="266"/>
      <c r="N20" s="402"/>
      <c r="O20" s="402"/>
      <c r="P20" s="245"/>
      <c r="Q20" s="245"/>
      <c r="R20" s="245"/>
      <c r="S20" s="245"/>
      <c r="T20" s="245"/>
      <c r="U20" s="245"/>
      <c r="V20" s="245"/>
      <c r="W20" s="245"/>
      <c r="X20" s="245"/>
      <c r="Y20" s="245"/>
      <c r="Z20" s="245"/>
      <c r="AA20" s="245"/>
      <c r="AB20" s="245"/>
      <c r="AC20" s="245"/>
    </row>
    <row r="21" spans="1:29" s="254" customFormat="1" ht="16.5" customHeight="1">
      <c r="A21" s="252"/>
      <c r="B21" s="248" t="str">
        <f>RESUM!B21</f>
        <v>MAC QT 160 P</v>
      </c>
      <c r="C21" s="248" t="str">
        <f>RESUM!C21</f>
        <v>MAC QT 160 P</v>
      </c>
      <c r="D21" s="248" t="str">
        <f>RESUM!D21</f>
        <v>MAC QT 160 P</v>
      </c>
      <c r="E21" s="248" t="str">
        <f>RESUM!E21</f>
        <v>MAC QT 160 P</v>
      </c>
      <c r="F21" s="248" t="str">
        <f>RESUM!F21</f>
        <v>MAC QT 160 P</v>
      </c>
      <c r="G21" s="248" t="str">
        <f>RESUM!G21</f>
        <v>MAC QT 160 P</v>
      </c>
      <c r="H21" s="248" t="str">
        <f>RESUM!H21</f>
        <v>MAC QT 160 P</v>
      </c>
      <c r="I21" s="248" t="str">
        <f>RESUM!I21</f>
        <v>MAC QT 160 P</v>
      </c>
      <c r="J21" s="248" t="str">
        <f>RESUM!J21</f>
        <v>MAC QT 160 P</v>
      </c>
      <c r="K21" s="248" t="str">
        <f>RESUM!K21</f>
        <v>MAC QT 160 P</v>
      </c>
      <c r="L21" s="248" t="str">
        <f>RESUM!L21</f>
        <v>MAC QT 160 P</v>
      </c>
      <c r="M21" s="248" t="str">
        <f>RESUM!M21</f>
        <v>MAC QT 160 P</v>
      </c>
      <c r="N21" s="392" t="str">
        <f>RESUM!N21</f>
        <v>MAC QT 160 P</v>
      </c>
      <c r="O21" s="392" t="str">
        <f>RESUM!O21</f>
        <v>MAC QT 160 P</v>
      </c>
      <c r="P21" s="226"/>
      <c r="Q21" s="226"/>
      <c r="R21" s="226"/>
      <c r="S21" s="226"/>
      <c r="T21" s="226"/>
      <c r="U21" s="226"/>
      <c r="V21" s="226"/>
      <c r="W21" s="226"/>
      <c r="X21" s="226"/>
      <c r="Y21" s="226"/>
      <c r="Z21" s="226"/>
      <c r="AA21" s="226"/>
      <c r="AB21" s="226"/>
      <c r="AC21" s="226"/>
    </row>
    <row r="22" spans="1:29" s="250" customFormat="1" ht="16.5" customHeight="1">
      <c r="A22" s="249"/>
      <c r="B22" s="375" t="str">
        <f>RESUM!B22</f>
        <v>A41</v>
      </c>
      <c r="C22" s="375" t="str">
        <f>RESUM!C22</f>
        <v>B41</v>
      </c>
      <c r="D22" s="375" t="str">
        <f>RESUM!D22</f>
        <v>C41</v>
      </c>
      <c r="E22" s="375" t="str">
        <f>RESUM!E22</f>
        <v>D41</v>
      </c>
      <c r="F22" s="375" t="str">
        <f>RESUM!F22</f>
        <v>E41</v>
      </c>
      <c r="G22" s="375" t="str">
        <f>RESUM!G22</f>
        <v>F41</v>
      </c>
      <c r="H22" s="375" t="str">
        <f>RESUM!H22</f>
        <v>G41</v>
      </c>
      <c r="I22" s="375" t="str">
        <f>RESUM!I22</f>
        <v>H41</v>
      </c>
      <c r="J22" s="375" t="str">
        <f>RESUM!J22</f>
        <v>I41</v>
      </c>
      <c r="K22" s="375" t="str">
        <f>RESUM!K22</f>
        <v>F42</v>
      </c>
      <c r="L22" s="375" t="str">
        <f>RESUM!L22</f>
        <v>G42</v>
      </c>
      <c r="M22" s="375" t="str">
        <f>RESUM!M22</f>
        <v>H42</v>
      </c>
      <c r="N22" s="393">
        <f>RESUM!N22</f>
        <v>0</v>
      </c>
      <c r="O22" s="393">
        <f>RESUM!O22</f>
        <v>0</v>
      </c>
      <c r="P22" s="226"/>
      <c r="Q22" s="226"/>
      <c r="R22" s="226"/>
      <c r="S22" s="226"/>
      <c r="T22" s="226"/>
      <c r="U22" s="226"/>
      <c r="V22" s="226"/>
      <c r="W22" s="226"/>
      <c r="X22" s="226"/>
      <c r="Y22" s="226"/>
      <c r="Z22" s="226"/>
      <c r="AA22" s="226"/>
      <c r="AB22" s="226"/>
      <c r="AC22" s="226"/>
    </row>
    <row r="23" spans="1:29" s="254" customFormat="1" ht="16.5" customHeight="1">
      <c r="A23" s="252" t="s">
        <v>148</v>
      </c>
      <c r="B23" s="267">
        <f>RESUM!B23</f>
        <v>236.05550063881887</v>
      </c>
      <c r="C23" s="267">
        <f>RESUM!C23</f>
        <v>140.72795497756996</v>
      </c>
      <c r="D23" s="267">
        <f>RESUM!D23</f>
        <v>103.83298550779506</v>
      </c>
      <c r="E23" s="267">
        <f>RESUM!E23</f>
        <v>72.046276326874406</v>
      </c>
      <c r="F23" s="267">
        <f>RESUM!F23</f>
        <v>58.106815131632864</v>
      </c>
      <c r="G23" s="267">
        <f>RESUM!G23</f>
        <v>46.147993559020016</v>
      </c>
      <c r="H23" s="267">
        <f>RESUM!H23</f>
        <v>35.181988744392484</v>
      </c>
      <c r="I23" s="267">
        <f>RESUM!I23</f>
        <v>25.693611798499802</v>
      </c>
      <c r="J23" s="267">
        <f>RESUM!J23</f>
        <v>18.011569081718608</v>
      </c>
      <c r="K23" s="267">
        <f>RESUM!K23</f>
        <v>15.382664519673341</v>
      </c>
      <c r="L23" s="267">
        <f>RESUM!L23</f>
        <v>11.727329581464163</v>
      </c>
      <c r="M23" s="267">
        <f>RESUM!M23</f>
        <v>8.5645372661665995</v>
      </c>
      <c r="N23" s="403">
        <f>RESUM!N23</f>
        <v>0</v>
      </c>
      <c r="O23" s="403">
        <f>RESUM!O23</f>
        <v>0</v>
      </c>
      <c r="P23" s="226"/>
      <c r="Q23" s="226"/>
      <c r="R23" s="226"/>
      <c r="S23" s="226"/>
      <c r="T23" s="226"/>
      <c r="U23" s="226"/>
      <c r="V23" s="226"/>
      <c r="W23" s="226"/>
      <c r="X23" s="226"/>
      <c r="Y23" s="226"/>
      <c r="Z23" s="226"/>
      <c r="AA23" s="226"/>
      <c r="AB23" s="226"/>
      <c r="AC23" s="226"/>
    </row>
    <row r="24" spans="1:29" ht="16.5" customHeight="1">
      <c r="A24" s="247" t="s">
        <v>149</v>
      </c>
      <c r="B24" s="261">
        <f>RESUM!B24</f>
        <v>187.99062348578832</v>
      </c>
      <c r="C24" s="261">
        <f>RESUM!C24</f>
        <v>113.72272284942751</v>
      </c>
      <c r="D24" s="261">
        <f>RESUM!D24</f>
        <v>83.551388215905931</v>
      </c>
      <c r="E24" s="261">
        <f>RESUM!E24</f>
        <v>58.02179737215689</v>
      </c>
      <c r="F24" s="261">
        <f>RESUM!F24</f>
        <v>46.997655871447073</v>
      </c>
      <c r="G24" s="261">
        <f>RESUM!G24</f>
        <v>37.133950318180396</v>
      </c>
      <c r="H24" s="261">
        <f>RESUM!H24</f>
        <v>28.430680712356871</v>
      </c>
      <c r="I24" s="261">
        <f>RESUM!I24</f>
        <v>20.887847053976483</v>
      </c>
      <c r="J24" s="261">
        <f>RESUM!J24</f>
        <v>14.505449343039221</v>
      </c>
      <c r="K24" s="261">
        <f>RESUM!K24</f>
        <v>12.37798343939347</v>
      </c>
      <c r="L24" s="261">
        <f>RESUM!L24</f>
        <v>9.4768935707856237</v>
      </c>
      <c r="M24" s="261">
        <f>RESUM!M24</f>
        <v>6.9626156846588252</v>
      </c>
      <c r="N24" s="398">
        <f>RESUM!N24</f>
        <v>0</v>
      </c>
      <c r="O24" s="398">
        <f>RESUM!O24</f>
        <v>0</v>
      </c>
    </row>
    <row r="25" spans="1:29" ht="16.5" customHeight="1">
      <c r="A25" s="247" t="s">
        <v>150</v>
      </c>
      <c r="B25" s="261">
        <f>RESUM!B25</f>
        <v>518.7889426472301</v>
      </c>
      <c r="C25" s="261">
        <f>RESUM!C25</f>
        <v>406.05179634010824</v>
      </c>
      <c r="D25" s="261">
        <f>RESUM!D25</f>
        <v>342.85880427000188</v>
      </c>
      <c r="E25" s="261">
        <f>RESUM!E25</f>
        <v>278.51907136934926</v>
      </c>
      <c r="F25" s="261">
        <f>RESUM!F25</f>
        <v>246.93158530072978</v>
      </c>
      <c r="G25" s="261">
        <f>RESUM!G25</f>
        <v>215.16473429221131</v>
      </c>
      <c r="H25" s="261">
        <f>RESUM!H25</f>
        <v>182.13631504942001</v>
      </c>
      <c r="I25" s="261">
        <f>RESUM!I25</f>
        <v>149.6688925636756</v>
      </c>
      <c r="J25" s="261">
        <f>RESUM!J25</f>
        <v>118.89030818670278</v>
      </c>
      <c r="K25" s="261">
        <f>RESUM!K25</f>
        <v>107.32545175426594</v>
      </c>
      <c r="L25" s="261">
        <f>RESUM!L25</f>
        <v>89.796880141412814</v>
      </c>
      <c r="M25" s="261">
        <f>RESUM!M25</f>
        <v>72.373090704416441</v>
      </c>
      <c r="N25" s="398">
        <f>RESUM!N25</f>
        <v>0</v>
      </c>
      <c r="O25" s="398">
        <f>RESUM!O25</f>
        <v>0</v>
      </c>
    </row>
    <row r="26" spans="1:29" ht="16.5" customHeight="1">
      <c r="A26" s="247" t="s">
        <v>151</v>
      </c>
      <c r="B26" s="268">
        <f>RESUM!B26</f>
        <v>2.64538611508388</v>
      </c>
      <c r="C26" s="268">
        <f>RESUM!C26</f>
        <v>1.6002953041865442</v>
      </c>
      <c r="D26" s="268">
        <f>RESUM!D26</f>
        <v>1.175727162259502</v>
      </c>
      <c r="E26" s="268">
        <f>RESUM!E26</f>
        <v>0.81647719601354307</v>
      </c>
      <c r="F26" s="268">
        <f>RESUM!F26</f>
        <v>0.66134652877097011</v>
      </c>
      <c r="G26" s="268">
        <f>RESUM!G26</f>
        <v>0.52254540544866745</v>
      </c>
      <c r="H26" s="268">
        <f>RESUM!H26</f>
        <v>0.40007382604663594</v>
      </c>
      <c r="I26" s="268">
        <f>RESUM!I26</f>
        <v>0.29393179056487556</v>
      </c>
      <c r="J26" s="268">
        <f>RESUM!J26</f>
        <v>0.20411929900338574</v>
      </c>
      <c r="K26" s="268">
        <f>RESUM!K26</f>
        <v>0.17418180181622256</v>
      </c>
      <c r="L26" s="268">
        <f>RESUM!L26</f>
        <v>0.13335794201554538</v>
      </c>
      <c r="M26" s="268">
        <f>RESUM!M26</f>
        <v>9.7977263521625169E-2</v>
      </c>
      <c r="N26" s="404">
        <f>RESUM!N26</f>
        <v>0</v>
      </c>
      <c r="O26" s="404">
        <f>RESUM!O26</f>
        <v>0</v>
      </c>
    </row>
    <row r="27" spans="1:29" ht="16.5" customHeight="1">
      <c r="A27" s="247" t="s">
        <v>152</v>
      </c>
      <c r="B27" s="268">
        <f>RESUM!B27</f>
        <v>2.3710549137313892</v>
      </c>
      <c r="C27" s="268">
        <f>RESUM!C27</f>
        <v>1.480264170212094</v>
      </c>
      <c r="D27" s="268">
        <f>RESUM!D27</f>
        <v>1.0868623100466543</v>
      </c>
      <c r="E27" s="268">
        <f>RESUM!E27</f>
        <v>0.7525393531151322</v>
      </c>
      <c r="F27" s="268">
        <f>RESUM!F27</f>
        <v>0.60742837767666213</v>
      </c>
      <c r="G27" s="268">
        <f>RESUM!G27</f>
        <v>0.47831092455173962</v>
      </c>
      <c r="H27" s="268">
        <f>RESUM!H27</f>
        <v>0.36797283031576761</v>
      </c>
      <c r="I27" s="268">
        <f>RESUM!I27</f>
        <v>0.27171655872009992</v>
      </c>
      <c r="J27" s="268">
        <f>RESUM!J27</f>
        <v>0.1875125485677791</v>
      </c>
      <c r="K27" s="268">
        <f>RESUM!K27</f>
        <v>0.16046034746275609</v>
      </c>
      <c r="L27" s="268">
        <f>RESUM!L27</f>
        <v>0.12344407417575487</v>
      </c>
      <c r="M27" s="268">
        <f>RESUM!M27</f>
        <v>9.1815098125069008E-2</v>
      </c>
      <c r="N27" s="404">
        <f>RESUM!N27</f>
        <v>0</v>
      </c>
      <c r="O27" s="404">
        <f>RESUM!O27</f>
        <v>0</v>
      </c>
    </row>
    <row r="28" spans="1:29" ht="16.5" customHeight="1">
      <c r="A28" s="247" t="s">
        <v>153</v>
      </c>
      <c r="B28" s="268">
        <f>RESUM!B28</f>
        <v>89.840415932995398</v>
      </c>
      <c r="C28" s="268">
        <f>RESUM!C28</f>
        <v>53.097232571420491</v>
      </c>
      <c r="D28" s="268">
        <f>RESUM!D28</f>
        <v>39.098762930316781</v>
      </c>
      <c r="E28" s="268">
        <f>RESUM!E28</f>
        <v>27.026582368054392</v>
      </c>
      <c r="F28" s="268">
        <f>RESUM!F28</f>
        <v>22.149052012853019</v>
      </c>
      <c r="G28" s="268">
        <f>RESUM!G28</f>
        <v>17.724785001154462</v>
      </c>
      <c r="H28" s="268">
        <f>RESUM!H28</f>
        <v>13.21417200720912</v>
      </c>
      <c r="I28" s="268">
        <f>RESUM!I28</f>
        <v>9.4503213425344317</v>
      </c>
      <c r="J28" s="268">
        <f>RESUM!J28</f>
        <v>6.7367577703402608</v>
      </c>
      <c r="K28" s="268">
        <f>RESUM!K28</f>
        <v>5.8063637439691824</v>
      </c>
      <c r="L28" s="268">
        <f>RESUM!L28</f>
        <v>4.4602251011051051</v>
      </c>
      <c r="M28" s="268">
        <f>RESUM!M28</f>
        <v>3.195701957330598</v>
      </c>
      <c r="N28" s="404">
        <f>RESUM!N28</f>
        <v>0</v>
      </c>
      <c r="O28" s="404">
        <f>RESUM!O28</f>
        <v>0</v>
      </c>
    </row>
    <row r="29" spans="1:29" ht="16.5" customHeight="1">
      <c r="A29" s="247" t="s">
        <v>154</v>
      </c>
      <c r="B29" s="268">
        <f>RESUM!B29</f>
        <v>0.39179685200214381</v>
      </c>
      <c r="C29" s="268">
        <f>RESUM!C29</f>
        <v>0.388675639352004</v>
      </c>
      <c r="D29" s="268">
        <f>RESUM!D29</f>
        <v>0.3878776084075205</v>
      </c>
      <c r="E29" s="268">
        <f>RESUM!E29</f>
        <v>0.38646077193141526</v>
      </c>
      <c r="F29" s="268">
        <f>RESUM!F29</f>
        <v>0.39255977960502952</v>
      </c>
      <c r="G29" s="268">
        <f>RESUM!G29</f>
        <v>0.39540896579319501</v>
      </c>
      <c r="H29" s="268">
        <f>RESUM!H29</f>
        <v>0.38696635179344935</v>
      </c>
      <c r="I29" s="268">
        <f>RESUM!I29</f>
        <v>0.37924808740467753</v>
      </c>
      <c r="J29" s="268">
        <f>RESUM!J29</f>
        <v>0.38535660262872384</v>
      </c>
      <c r="K29" s="268">
        <f>RESUM!K29</f>
        <v>0.38878476080244156</v>
      </c>
      <c r="L29" s="268">
        <f>RESUM!L29</f>
        <v>0.39169898067682163</v>
      </c>
      <c r="M29" s="268">
        <f>RESUM!M29</f>
        <v>0.38457176593341397</v>
      </c>
      <c r="N29" s="404">
        <f>RESUM!N29</f>
        <v>0</v>
      </c>
      <c r="O29" s="404">
        <f>RESUM!O29</f>
        <v>0</v>
      </c>
    </row>
    <row r="30" spans="1:29" ht="16.5" customHeight="1">
      <c r="A30" s="247" t="s">
        <v>155</v>
      </c>
      <c r="B30" s="268">
        <f>RESUM!B30</f>
        <v>0.4905110113308272</v>
      </c>
      <c r="C30" s="268">
        <f>RESUM!C30</f>
        <v>0.47991725289496384</v>
      </c>
      <c r="D30" s="268">
        <f>RESUM!D30</f>
        <v>0.48096897129368316</v>
      </c>
      <c r="E30" s="268">
        <f>RESUM!E30</f>
        <v>0.47877044454503548</v>
      </c>
      <c r="F30" s="268">
        <f>RESUM!F30</f>
        <v>0.48420458358126622</v>
      </c>
      <c r="G30" s="268">
        <f>RESUM!G30</f>
        <v>0.49020090159365981</v>
      </c>
      <c r="H30" s="268">
        <f>RESUM!H30</f>
        <v>0.47772844325959662</v>
      </c>
      <c r="I30" s="268">
        <f>RESUM!I30</f>
        <v>0.46543992189006944</v>
      </c>
      <c r="J30" s="268">
        <f>RESUM!J30</f>
        <v>0.4773564854942472</v>
      </c>
      <c r="K30" s="268">
        <f>RESUM!K30</f>
        <v>0.48205138750163951</v>
      </c>
      <c r="L30" s="268">
        <f>RESUM!L30</f>
        <v>0.48366789613538719</v>
      </c>
      <c r="M30" s="268">
        <f>RESUM!M30</f>
        <v>0.47216695626318461</v>
      </c>
      <c r="N30" s="404">
        <f>RESUM!N30</f>
        <v>0</v>
      </c>
      <c r="O30" s="404">
        <f>RESUM!O30</f>
        <v>0</v>
      </c>
    </row>
    <row r="31" spans="1:29" ht="16.5" customHeight="1">
      <c r="A31" s="247" t="s">
        <v>156</v>
      </c>
      <c r="B31" s="269">
        <f>RESUM!B31</f>
        <v>138.43870110265081</v>
      </c>
      <c r="C31" s="269">
        <f>RESUM!C31</f>
        <v>107.67454530206172</v>
      </c>
      <c r="D31" s="269">
        <f>RESUM!D31</f>
        <v>92.292467401767198</v>
      </c>
      <c r="E31" s="269">
        <f>RESUM!E31</f>
        <v>76.910389501472665</v>
      </c>
      <c r="F31" s="269">
        <f>RESUM!F31</f>
        <v>69.219350551325405</v>
      </c>
      <c r="G31" s="269">
        <f>RESUM!G31</f>
        <v>61.528311601178132</v>
      </c>
      <c r="H31" s="269">
        <f>RESUM!H31</f>
        <v>53.837272651030865</v>
      </c>
      <c r="I31" s="269">
        <f>RESUM!I31</f>
        <v>46.146233700883599</v>
      </c>
      <c r="J31" s="269">
        <f>RESUM!J31</f>
        <v>38.455194750736332</v>
      </c>
      <c r="K31" s="269">
        <f>RESUM!K31</f>
        <v>35.523387265723365</v>
      </c>
      <c r="L31" s="269">
        <f>RESUM!L31</f>
        <v>31.082963857507945</v>
      </c>
      <c r="M31" s="269">
        <f>RESUM!M31</f>
        <v>26.642540449292529</v>
      </c>
      <c r="N31" s="405">
        <f>RESUM!N31</f>
        <v>0</v>
      </c>
      <c r="O31" s="405">
        <f>RESUM!O31</f>
        <v>0</v>
      </c>
    </row>
    <row r="32" spans="1:29" s="271" customFormat="1" ht="16.5" customHeight="1">
      <c r="A32" s="270" t="s">
        <v>157</v>
      </c>
      <c r="B32" s="61">
        <f>RESUM!B32</f>
        <v>20.3</v>
      </c>
      <c r="C32" s="61">
        <f>RESUM!C32</f>
        <v>26.6</v>
      </c>
      <c r="D32" s="61">
        <f>RESUM!D32</f>
        <v>31.2</v>
      </c>
      <c r="E32" s="61">
        <f>RESUM!E32</f>
        <v>37.5</v>
      </c>
      <c r="F32" s="61">
        <f>RESUM!F32</f>
        <v>41</v>
      </c>
      <c r="G32" s="61">
        <f>RESUM!G32</f>
        <v>45.5</v>
      </c>
      <c r="H32" s="61">
        <f>RESUM!H32</f>
        <v>53.7</v>
      </c>
      <c r="I32" s="61">
        <f>RESUM!I32</f>
        <v>64.599999999999994</v>
      </c>
      <c r="J32" s="61">
        <f>RESUM!J32</f>
        <v>75.2</v>
      </c>
      <c r="K32" s="61">
        <f>RESUM!K32</f>
        <v>80.400000000000006</v>
      </c>
      <c r="L32" s="61">
        <f>RESUM!L32</f>
        <v>91.5</v>
      </c>
      <c r="M32" s="61">
        <f>RESUM!M32</f>
        <v>110</v>
      </c>
      <c r="N32" s="406">
        <f>RESUM!N32</f>
        <v>0</v>
      </c>
      <c r="O32" s="406">
        <f>RESUM!O32</f>
        <v>0</v>
      </c>
      <c r="P32" s="258"/>
      <c r="Q32" s="258"/>
      <c r="R32" s="258"/>
      <c r="S32" s="258"/>
      <c r="T32" s="258"/>
      <c r="U32" s="258"/>
      <c r="V32" s="258"/>
      <c r="W32" s="258"/>
      <c r="X32" s="258"/>
      <c r="Y32" s="258"/>
      <c r="Z32" s="258"/>
      <c r="AA32" s="258"/>
      <c r="AB32" s="258"/>
      <c r="AC32" s="258"/>
    </row>
    <row r="33" spans="1:15" ht="16.5" customHeight="1">
      <c r="A33" s="270"/>
      <c r="B33" s="61">
        <f>RESUM!B33</f>
        <v>0</v>
      </c>
      <c r="C33" s="61">
        <f>RESUM!C33</f>
        <v>0</v>
      </c>
      <c r="D33" s="61">
        <f>RESUM!D33</f>
        <v>0</v>
      </c>
      <c r="E33" s="61">
        <f>RESUM!E33</f>
        <v>0</v>
      </c>
      <c r="F33" s="61">
        <f>RESUM!F33</f>
        <v>0</v>
      </c>
      <c r="G33" s="61">
        <f>RESUM!G33</f>
        <v>0</v>
      </c>
      <c r="H33" s="61">
        <f>RESUM!H33</f>
        <v>0</v>
      </c>
      <c r="I33" s="62">
        <f>RESUM!I33</f>
        <v>0</v>
      </c>
      <c r="J33" s="61">
        <f>RESUM!J33</f>
        <v>0</v>
      </c>
      <c r="K33" s="61">
        <f>RESUM!K33</f>
        <v>0</v>
      </c>
      <c r="L33" s="61">
        <f>RESUM!L33</f>
        <v>0</v>
      </c>
      <c r="M33" s="61">
        <f>RESUM!M33</f>
        <v>0</v>
      </c>
      <c r="N33" s="406">
        <f>RESUM!N33</f>
        <v>0</v>
      </c>
      <c r="O33" s="406">
        <f>RESUM!O33</f>
        <v>0</v>
      </c>
    </row>
    <row r="34" spans="1:15" ht="16.5" customHeight="1">
      <c r="B34" s="230"/>
      <c r="C34" s="230"/>
      <c r="D34" s="230"/>
      <c r="E34" s="230"/>
      <c r="F34" s="230"/>
      <c r="G34" s="230"/>
      <c r="H34" s="230"/>
      <c r="I34" s="230"/>
    </row>
    <row r="35" spans="1:15" ht="16.5" customHeight="1">
      <c r="B35" s="272"/>
      <c r="C35" s="272"/>
      <c r="D35" s="272"/>
      <c r="E35" s="272"/>
      <c r="F35" s="272"/>
      <c r="G35" s="272"/>
      <c r="H35" s="272"/>
      <c r="I35" s="272"/>
    </row>
    <row r="36" spans="1:15" ht="16.5" customHeight="1">
      <c r="B36" s="230"/>
      <c r="C36" s="230"/>
      <c r="D36" s="230"/>
      <c r="E36" s="230"/>
      <c r="F36" s="230"/>
      <c r="G36" s="230"/>
      <c r="H36" s="230"/>
      <c r="I36" s="230"/>
    </row>
    <row r="37" spans="1:15" ht="16.5" customHeight="1">
      <c r="B37" s="230"/>
      <c r="C37" s="230"/>
      <c r="D37" s="230"/>
      <c r="E37" s="230"/>
      <c r="F37" s="230"/>
      <c r="G37" s="230"/>
      <c r="H37" s="230"/>
      <c r="I37" s="230"/>
    </row>
    <row r="38" spans="1:15" ht="16.5" customHeight="1">
      <c r="B38" s="230"/>
      <c r="C38" s="230"/>
      <c r="D38" s="230"/>
      <c r="E38" s="230"/>
      <c r="F38" s="230"/>
      <c r="G38" s="230"/>
      <c r="H38" s="230"/>
      <c r="I38" s="230"/>
    </row>
    <row r="39" spans="1:15" ht="16.5" customHeight="1">
      <c r="B39" s="230"/>
      <c r="C39" s="230"/>
      <c r="D39" s="230"/>
      <c r="E39" s="230"/>
      <c r="F39" s="230"/>
      <c r="G39" s="230"/>
      <c r="H39" s="230"/>
      <c r="I39" s="230"/>
    </row>
    <row r="40" spans="1:15" ht="16.5" customHeight="1">
      <c r="B40" s="230"/>
      <c r="C40" s="230"/>
      <c r="D40" s="230"/>
      <c r="E40" s="230"/>
      <c r="F40" s="230"/>
      <c r="G40" s="230"/>
      <c r="H40" s="230"/>
      <c r="I40" s="230"/>
    </row>
    <row r="41" spans="1:15" ht="16.5" customHeight="1">
      <c r="B41" s="230"/>
      <c r="C41" s="230"/>
      <c r="D41" s="230"/>
      <c r="E41" s="230"/>
      <c r="F41" s="230"/>
      <c r="G41" s="230"/>
      <c r="H41" s="230"/>
      <c r="I41" s="230"/>
    </row>
    <row r="42" spans="1:15" ht="16.5" customHeight="1">
      <c r="B42" s="230"/>
      <c r="C42" s="230"/>
      <c r="D42" s="230"/>
      <c r="E42" s="230"/>
      <c r="F42" s="230"/>
      <c r="G42" s="230"/>
      <c r="H42" s="230"/>
      <c r="I42" s="230"/>
    </row>
    <row r="43" spans="1:15" ht="16.5" customHeight="1">
      <c r="B43" s="230"/>
      <c r="C43" s="230"/>
      <c r="D43" s="230"/>
      <c r="E43" s="230"/>
      <c r="F43" s="230"/>
      <c r="G43" s="230"/>
      <c r="H43" s="230"/>
      <c r="I43" s="230"/>
    </row>
    <row r="44" spans="1:15" ht="16.5" customHeight="1">
      <c r="B44" s="230"/>
      <c r="C44" s="230"/>
      <c r="D44" s="230"/>
      <c r="E44" s="230"/>
      <c r="F44" s="230"/>
      <c r="G44" s="230"/>
      <c r="H44" s="230"/>
      <c r="I44" s="230"/>
    </row>
    <row r="45" spans="1:15" ht="16.5" customHeight="1">
      <c r="B45" s="230"/>
      <c r="C45" s="230"/>
      <c r="D45" s="230"/>
      <c r="E45" s="230"/>
      <c r="F45" s="230"/>
      <c r="G45" s="230"/>
      <c r="H45" s="230"/>
      <c r="I45" s="230"/>
    </row>
    <row r="46" spans="1:15" ht="16.5" customHeight="1">
      <c r="B46" s="230"/>
      <c r="C46" s="230"/>
      <c r="D46" s="230"/>
      <c r="E46" s="230"/>
      <c r="F46" s="230"/>
      <c r="G46" s="230"/>
      <c r="H46" s="230"/>
      <c r="I46" s="230"/>
    </row>
    <row r="47" spans="1:15" ht="16.5" customHeight="1">
      <c r="B47" s="230"/>
      <c r="C47" s="230"/>
      <c r="D47" s="230"/>
      <c r="E47" s="230"/>
      <c r="F47" s="230"/>
      <c r="G47" s="230"/>
      <c r="H47" s="230"/>
      <c r="I47" s="230"/>
    </row>
    <row r="48" spans="1:15" ht="16.5" customHeight="1">
      <c r="B48" s="230"/>
      <c r="C48" s="230"/>
      <c r="D48" s="230"/>
      <c r="E48" s="230"/>
      <c r="F48" s="230"/>
      <c r="G48" s="230"/>
      <c r="H48" s="230"/>
      <c r="I48" s="230"/>
    </row>
    <row r="49" spans="1:13" ht="16.5" customHeight="1">
      <c r="B49" s="230"/>
      <c r="C49" s="230"/>
      <c r="D49" s="230"/>
      <c r="E49" s="230"/>
      <c r="F49" s="230"/>
      <c r="G49" s="230"/>
      <c r="H49" s="230"/>
      <c r="I49" s="230"/>
    </row>
    <row r="50" spans="1:13" s="273" customFormat="1" ht="16.5" customHeight="1">
      <c r="B50" s="274"/>
      <c r="C50" s="274"/>
      <c r="D50" s="274"/>
      <c r="E50" s="274"/>
      <c r="F50" s="274"/>
      <c r="G50" s="274"/>
      <c r="H50" s="274"/>
      <c r="I50" s="274"/>
    </row>
    <row r="51" spans="1:13" s="273" customFormat="1" ht="15" customHeight="1">
      <c r="B51" s="274"/>
      <c r="C51" s="274"/>
      <c r="D51" s="274"/>
      <c r="E51" s="274"/>
      <c r="F51" s="274"/>
      <c r="G51" s="274"/>
      <c r="H51" s="274"/>
      <c r="I51" s="274"/>
    </row>
    <row r="52" spans="1:13" s="273" customFormat="1" ht="15" customHeight="1">
      <c r="B52" s="274"/>
      <c r="C52" s="274"/>
      <c r="D52" s="274"/>
      <c r="E52" s="274"/>
      <c r="F52" s="274"/>
      <c r="G52" s="274"/>
      <c r="H52" s="274"/>
      <c r="I52" s="274"/>
    </row>
    <row r="53" spans="1:13" s="273" customFormat="1" ht="15" customHeight="1">
      <c r="B53" s="274"/>
      <c r="C53" s="274"/>
      <c r="D53" s="274"/>
      <c r="E53" s="274"/>
      <c r="F53" s="274"/>
      <c r="G53" s="274"/>
      <c r="H53" s="274"/>
      <c r="I53" s="274"/>
    </row>
    <row r="54" spans="1:13" s="273" customFormat="1" ht="15" customHeight="1">
      <c r="B54" s="274"/>
      <c r="C54" s="274"/>
      <c r="D54" s="274"/>
      <c r="E54" s="274"/>
      <c r="F54" s="274"/>
      <c r="G54" s="274"/>
      <c r="H54" s="274"/>
      <c r="I54" s="274"/>
    </row>
    <row r="55" spans="1:13" s="276" customFormat="1" ht="15" customHeight="1">
      <c r="B55" s="275"/>
      <c r="C55" s="275"/>
      <c r="D55" s="275"/>
      <c r="E55" s="275"/>
      <c r="F55" s="275"/>
      <c r="G55" s="275"/>
      <c r="H55" s="275"/>
      <c r="I55" s="275"/>
    </row>
    <row r="56" spans="1:13" s="276" customFormat="1" ht="15" customHeight="1">
      <c r="B56" s="275"/>
      <c r="C56" s="275"/>
      <c r="D56" s="275"/>
      <c r="E56" s="275"/>
      <c r="F56" s="275"/>
      <c r="G56" s="275"/>
      <c r="H56" s="275"/>
      <c r="I56" s="275"/>
    </row>
    <row r="57" spans="1:13" s="276" customFormat="1" ht="15" customHeight="1">
      <c r="B57" s="275"/>
      <c r="C57" s="275"/>
      <c r="D57" s="275"/>
      <c r="E57" s="275"/>
      <c r="F57" s="275"/>
      <c r="G57" s="275"/>
      <c r="H57" s="275"/>
      <c r="I57" s="275"/>
    </row>
    <row r="58" spans="1:13" s="276" customFormat="1" ht="15" customHeight="1">
      <c r="B58" s="275"/>
      <c r="C58" s="275"/>
      <c r="D58" s="275"/>
      <c r="E58" s="275"/>
      <c r="F58" s="275"/>
      <c r="G58" s="275"/>
      <c r="H58" s="275"/>
      <c r="I58" s="275"/>
    </row>
    <row r="59" spans="1:13" s="276" customFormat="1" ht="15" customHeight="1">
      <c r="B59" s="275"/>
      <c r="C59" s="275"/>
      <c r="D59" s="275"/>
      <c r="E59" s="275"/>
      <c r="F59" s="275"/>
      <c r="G59" s="275"/>
      <c r="H59" s="275"/>
      <c r="I59" s="275"/>
    </row>
    <row r="60" spans="1:13" s="276" customFormat="1" ht="15" customHeight="1">
      <c r="B60" s="275"/>
      <c r="C60" s="275"/>
      <c r="D60" s="275"/>
      <c r="E60" s="275"/>
      <c r="F60" s="275"/>
      <c r="G60" s="275"/>
      <c r="H60" s="275"/>
      <c r="I60" s="275"/>
    </row>
    <row r="61" spans="1:13" s="284" customFormat="1" ht="15" customHeight="1">
      <c r="A61" s="284" t="s">
        <v>158</v>
      </c>
      <c r="B61" s="285">
        <f>B16*120/B10-B12</f>
        <v>27</v>
      </c>
      <c r="C61" s="285">
        <f>C16*120/U12-C12</f>
        <v>27</v>
      </c>
      <c r="D61" s="285">
        <f>D16*120/V12-D12</f>
        <v>26</v>
      </c>
      <c r="E61" s="285">
        <f t="shared" ref="E61:K61" si="6">E16*120/E10-E12</f>
        <v>27</v>
      </c>
      <c r="F61" s="285">
        <f t="shared" si="6"/>
        <v>27</v>
      </c>
      <c r="G61" s="285">
        <f t="shared" si="6"/>
        <v>27</v>
      </c>
      <c r="H61" s="285">
        <f t="shared" si="6"/>
        <v>27</v>
      </c>
      <c r="I61" s="285">
        <f t="shared" si="6"/>
        <v>26</v>
      </c>
      <c r="J61" s="285">
        <f t="shared" si="6"/>
        <v>27</v>
      </c>
      <c r="K61" s="285">
        <f t="shared" si="6"/>
        <v>26</v>
      </c>
      <c r="L61" s="285">
        <f>L16*120/L10-L12</f>
        <v>25</v>
      </c>
      <c r="M61" s="285">
        <f>M16*120/M10-M12</f>
        <v>24</v>
      </c>
    </row>
    <row r="62" spans="1:13" s="286" customFormat="1" ht="15" customHeight="1">
      <c r="A62" s="286" t="s">
        <v>159</v>
      </c>
      <c r="B62" s="287"/>
      <c r="C62" s="287"/>
      <c r="D62" s="287"/>
      <c r="E62" s="287"/>
      <c r="F62" s="287"/>
      <c r="G62" s="287"/>
      <c r="H62" s="287"/>
      <c r="I62" s="287"/>
      <c r="L62" s="388"/>
      <c r="M62" s="388"/>
    </row>
    <row r="63" spans="1:13" s="284" customFormat="1" ht="15" customHeight="1">
      <c r="A63" s="284" t="s">
        <v>160</v>
      </c>
      <c r="B63" s="285">
        <f>2*PI()*B16*B28/1000*B32</f>
        <v>206.26244679665376</v>
      </c>
      <c r="C63" s="285">
        <f t="shared" ref="C63:K63" si="7">2*PI()*C16*C28/1000*C32</f>
        <v>212.98284938610243</v>
      </c>
      <c r="D63" s="285">
        <f t="shared" si="7"/>
        <v>214.61274549419949</v>
      </c>
      <c r="E63" s="285">
        <f t="shared" si="7"/>
        <v>216.51160717875376</v>
      </c>
      <c r="F63" s="285">
        <f t="shared" si="7"/>
        <v>216.82155995682845</v>
      </c>
      <c r="G63" s="285">
        <f t="shared" si="7"/>
        <v>217.89170465623221</v>
      </c>
      <c r="H63" s="285">
        <f t="shared" si="7"/>
        <v>218.46918560671446</v>
      </c>
      <c r="I63" s="285">
        <f t="shared" si="7"/>
        <v>218.64211422819642</v>
      </c>
      <c r="J63" s="284">
        <f t="shared" si="7"/>
        <v>219.6330697599401</v>
      </c>
      <c r="K63" s="284">
        <f t="shared" si="7"/>
        <v>219.98922996641195</v>
      </c>
      <c r="L63" s="389">
        <f>2*PI()*L16*L28/1000*L32</f>
        <v>220.52416744813843</v>
      </c>
      <c r="M63" s="389">
        <f>2*PI()*M16*M28/1000*M32</f>
        <v>220.87106342867125</v>
      </c>
    </row>
    <row r="64" spans="1:13" s="284" customFormat="1" ht="15" customHeight="1">
      <c r="A64" s="284" t="s">
        <v>161</v>
      </c>
      <c r="B64" s="285">
        <f>B23/1000*(B15^2-B32^2)^0.5</f>
        <v>12.572941765885396</v>
      </c>
      <c r="C64" s="285">
        <f t="shared" ref="C64:K64" si="8">C23/1000*(C15^2-C32^2)^0.5</f>
        <v>9.8985686700052575</v>
      </c>
      <c r="D64" s="285">
        <f t="shared" si="8"/>
        <v>8.4437160019280419</v>
      </c>
      <c r="E64" s="285">
        <f t="shared" si="8"/>
        <v>7.0582409891535409</v>
      </c>
      <c r="F64" s="285">
        <f t="shared" si="8"/>
        <v>6.3301661480151212</v>
      </c>
      <c r="G64" s="285">
        <f t="shared" si="8"/>
        <v>5.6641017847098336</v>
      </c>
      <c r="H64" s="285">
        <f t="shared" si="8"/>
        <v>4.9049130830647423</v>
      </c>
      <c r="I64" s="285">
        <f t="shared" si="8"/>
        <v>4.1594561172309747</v>
      </c>
      <c r="J64" s="284">
        <f t="shared" si="8"/>
        <v>3.5103697917374448</v>
      </c>
      <c r="K64" s="284">
        <f t="shared" si="8"/>
        <v>3.1385284007556846</v>
      </c>
      <c r="L64" s="389">
        <f>L23/1000*(L15^2-L32^2)^0.5</f>
        <v>2.6387315064587749</v>
      </c>
      <c r="M64" s="389">
        <f>M23/1000*(M15^2-M32^2)^0.5</f>
        <v>2.1548818280916975</v>
      </c>
    </row>
    <row r="65" spans="1:13" s="284" customFormat="1" ht="15" customHeight="1">
      <c r="A65" s="284" t="s">
        <v>162</v>
      </c>
      <c r="B65" s="285">
        <f t="shared" ref="B65:K65" si="9">B23/1000*B32</f>
        <v>4.7919266629680228</v>
      </c>
      <c r="C65" s="285">
        <f t="shared" si="9"/>
        <v>3.743363602403361</v>
      </c>
      <c r="D65" s="285">
        <f t="shared" si="9"/>
        <v>3.2395891478432057</v>
      </c>
      <c r="E65" s="285">
        <f t="shared" si="9"/>
        <v>2.7017353622577902</v>
      </c>
      <c r="F65" s="285">
        <f t="shared" si="9"/>
        <v>2.3823794203969473</v>
      </c>
      <c r="G65" s="285">
        <f t="shared" si="9"/>
        <v>2.0997337069354107</v>
      </c>
      <c r="H65" s="285">
        <f t="shared" si="9"/>
        <v>1.8892727955738764</v>
      </c>
      <c r="I65" s="285">
        <f t="shared" si="9"/>
        <v>1.6598073221830871</v>
      </c>
      <c r="J65" s="284">
        <f t="shared" si="9"/>
        <v>1.3544699949452395</v>
      </c>
      <c r="K65" s="284">
        <f t="shared" si="9"/>
        <v>1.2367662273817368</v>
      </c>
      <c r="L65" s="389">
        <f>L23/1000*L32</f>
        <v>1.073050656703971</v>
      </c>
      <c r="M65" s="389">
        <f>M23/1000*M32</f>
        <v>0.94209909927832602</v>
      </c>
    </row>
    <row r="66" spans="1:13" s="284" customFormat="1" ht="15" customHeight="1">
      <c r="A66" s="284" t="s">
        <v>163</v>
      </c>
      <c r="B66" s="285">
        <f>2*PI()*B16*B26/1000*B32</f>
        <v>6.0734782575588966</v>
      </c>
      <c r="C66" s="285">
        <f t="shared" ref="C66:K66" si="10">2*PI()*C16*C26/1000*C32</f>
        <v>6.4190813200367023</v>
      </c>
      <c r="D66" s="285">
        <f t="shared" si="10"/>
        <v>6.4535554409821207</v>
      </c>
      <c r="E66" s="285">
        <f t="shared" si="10"/>
        <v>6.5408488400903391</v>
      </c>
      <c r="F66" s="285">
        <f t="shared" si="10"/>
        <v>6.4740552307585935</v>
      </c>
      <c r="G66" s="285">
        <f t="shared" si="10"/>
        <v>6.4236778694960908</v>
      </c>
      <c r="H66" s="285">
        <f t="shared" si="10"/>
        <v>6.6143987615180801</v>
      </c>
      <c r="I66" s="285">
        <f t="shared" si="10"/>
        <v>6.8003897220651233</v>
      </c>
      <c r="J66" s="284">
        <f t="shared" si="10"/>
        <v>6.6547365610707345</v>
      </c>
      <c r="K66" s="284">
        <f t="shared" si="10"/>
        <v>6.5993317238370297</v>
      </c>
      <c r="L66" s="389">
        <f>2*PI()*L16*L26/1000*L32</f>
        <v>6.5935347362375758</v>
      </c>
      <c r="M66" s="389">
        <f>2*PI()*M16*M26/1000*M32</f>
        <v>6.7717023285641149</v>
      </c>
    </row>
    <row r="67" spans="1:13" s="284" customFormat="1" ht="15" customHeight="1">
      <c r="A67" s="284" t="s">
        <v>164</v>
      </c>
      <c r="B67" s="285">
        <f t="shared" ref="B67:K67" si="11">2*PI()*B16*B26/1000*(B15^2-B32^2)^0.5</f>
        <v>15.935445973908612</v>
      </c>
      <c r="C67" s="285">
        <f t="shared" si="11"/>
        <v>16.973963524124862</v>
      </c>
      <c r="D67" s="285">
        <f t="shared" si="11"/>
        <v>16.820648193191161</v>
      </c>
      <c r="E67" s="285">
        <f t="shared" si="11"/>
        <v>17.08786435263675</v>
      </c>
      <c r="F67" s="285">
        <f t="shared" si="11"/>
        <v>17.202064839571168</v>
      </c>
      <c r="G67" s="285">
        <f t="shared" si="11"/>
        <v>17.328085540007518</v>
      </c>
      <c r="H67" s="285">
        <f t="shared" si="11"/>
        <v>17.172242726399134</v>
      </c>
      <c r="I67" s="285">
        <f t="shared" si="11"/>
        <v>17.041690472720006</v>
      </c>
      <c r="J67" s="284">
        <f t="shared" si="11"/>
        <v>17.247031151028111</v>
      </c>
      <c r="K67" s="284">
        <f t="shared" si="11"/>
        <v>16.747053390290809</v>
      </c>
      <c r="L67" s="389">
        <f>2*PI()*L16*L26/1000*(L15^2-L32^2)^0.5</f>
        <v>16.214116024011986</v>
      </c>
      <c r="M67" s="389">
        <f>2*PI()*M16*M26/1000*(M15^2-M32^2)^0.5</f>
        <v>15.489048131186083</v>
      </c>
    </row>
    <row r="68" spans="1:13" s="284" customFormat="1" ht="15" customHeight="1">
      <c r="A68" s="284" t="s">
        <v>165</v>
      </c>
      <c r="B68" s="285">
        <f>B63+B66-B64</f>
        <v>199.76298328832726</v>
      </c>
      <c r="C68" s="285">
        <f t="shared" ref="C68:K68" si="12">C63+C66-C64</f>
        <v>209.50336203613386</v>
      </c>
      <c r="D68" s="285">
        <f t="shared" si="12"/>
        <v>212.62258493325356</v>
      </c>
      <c r="E68" s="285">
        <f t="shared" si="12"/>
        <v>215.99421502969057</v>
      </c>
      <c r="F68" s="285">
        <f t="shared" si="12"/>
        <v>216.96544903957192</v>
      </c>
      <c r="G68" s="285">
        <f t="shared" si="12"/>
        <v>218.65128074101847</v>
      </c>
      <c r="H68" s="285">
        <f t="shared" si="12"/>
        <v>220.17867128516781</v>
      </c>
      <c r="I68" s="285">
        <f t="shared" si="12"/>
        <v>221.28304783303057</v>
      </c>
      <c r="J68" s="284">
        <f t="shared" si="12"/>
        <v>222.77743652927339</v>
      </c>
      <c r="K68" s="284">
        <f t="shared" si="12"/>
        <v>223.45003328949329</v>
      </c>
      <c r="L68" s="389">
        <f>L63+L66-L64</f>
        <v>224.47897067791723</v>
      </c>
      <c r="M68" s="389">
        <f>M63+M66-M64</f>
        <v>225.48788392914366</v>
      </c>
    </row>
    <row r="69" spans="1:13" s="284" customFormat="1" ht="15" customHeight="1">
      <c r="A69" s="284" t="s">
        <v>166</v>
      </c>
      <c r="B69" s="285">
        <f>B65-B67</f>
        <v>-11.14351931094059</v>
      </c>
      <c r="C69" s="285">
        <f t="shared" ref="C69:K69" si="13">C65-C67</f>
        <v>-13.230599921721501</v>
      </c>
      <c r="D69" s="285">
        <f t="shared" si="13"/>
        <v>-13.581059045347956</v>
      </c>
      <c r="E69" s="285">
        <f t="shared" si="13"/>
        <v>-14.38612899037896</v>
      </c>
      <c r="F69" s="285">
        <f t="shared" si="13"/>
        <v>-14.81968541917422</v>
      </c>
      <c r="G69" s="285">
        <f t="shared" si="13"/>
        <v>-15.228351833072107</v>
      </c>
      <c r="H69" s="285">
        <f t="shared" si="13"/>
        <v>-15.282969930825256</v>
      </c>
      <c r="I69" s="285">
        <f t="shared" si="13"/>
        <v>-15.381883150536918</v>
      </c>
      <c r="J69" s="284">
        <f t="shared" si="13"/>
        <v>-15.892561156082872</v>
      </c>
      <c r="K69" s="284">
        <f t="shared" si="13"/>
        <v>-15.510287162909073</v>
      </c>
      <c r="L69" s="389">
        <f>L65-L67</f>
        <v>-15.141065367308014</v>
      </c>
      <c r="M69" s="389">
        <f>M65-M67</f>
        <v>-14.546949031907756</v>
      </c>
    </row>
    <row r="70" spans="1:13" s="284" customFormat="1" ht="15" customHeight="1">
      <c r="A70" s="284" t="s">
        <v>130</v>
      </c>
      <c r="B70" s="285">
        <f>3^0.5*(B68^2+B69^2)^0.5</f>
        <v>346.53756296346501</v>
      </c>
      <c r="C70" s="285">
        <f t="shared" ref="C70:K70" si="14">3^0.5*(C68^2+C69^2)^0.5</f>
        <v>363.59334762368258</v>
      </c>
      <c r="D70" s="285">
        <f t="shared" si="14"/>
        <v>369.02361220587983</v>
      </c>
      <c r="E70" s="285">
        <f t="shared" si="14"/>
        <v>374.94184202468</v>
      </c>
      <c r="F70" s="285">
        <f t="shared" si="14"/>
        <v>376.67079453894365</v>
      </c>
      <c r="G70" s="285">
        <f t="shared" si="14"/>
        <v>379.63252733099478</v>
      </c>
      <c r="H70" s="285">
        <f t="shared" si="14"/>
        <v>382.27823555157499</v>
      </c>
      <c r="I70" s="285">
        <f t="shared" si="14"/>
        <v>384.19834560106602</v>
      </c>
      <c r="J70" s="284">
        <f t="shared" si="14"/>
        <v>386.84244748988283</v>
      </c>
      <c r="K70" s="284">
        <f t="shared" si="14"/>
        <v>387.95806365489386</v>
      </c>
      <c r="L70" s="389">
        <f>3^0.5*(L68^2+L69^2)^0.5</f>
        <v>389.69241769788505</v>
      </c>
      <c r="M70" s="389">
        <f>3^0.5*(M68^2+M69^2)^0.5</f>
        <v>391.36836685524247</v>
      </c>
    </row>
    <row r="71" spans="1:13" s="284" customFormat="1" ht="15" customHeight="1">
      <c r="B71" s="285"/>
      <c r="C71" s="285"/>
      <c r="D71" s="285"/>
      <c r="E71" s="285"/>
      <c r="F71" s="285"/>
      <c r="G71" s="285"/>
      <c r="H71" s="285"/>
      <c r="I71" s="285"/>
      <c r="L71" s="389"/>
      <c r="M71" s="389"/>
    </row>
    <row r="72" spans="1:13" s="286" customFormat="1" ht="15" customHeight="1">
      <c r="A72" s="286" t="s">
        <v>167</v>
      </c>
      <c r="B72" s="287">
        <f>B14</f>
        <v>400</v>
      </c>
      <c r="C72" s="287"/>
      <c r="D72" s="287"/>
      <c r="E72" s="287"/>
      <c r="F72" s="287"/>
      <c r="G72" s="287"/>
      <c r="H72" s="287"/>
      <c r="I72" s="287"/>
      <c r="L72" s="388"/>
      <c r="M72" s="388"/>
    </row>
    <row r="73" spans="1:13" s="284" customFormat="1" ht="15" customHeight="1">
      <c r="A73" s="284" t="s">
        <v>160</v>
      </c>
      <c r="B73" s="285">
        <f>B63*B74/B16</f>
        <v>238.0837967841307</v>
      </c>
      <c r="C73" s="285">
        <f t="shared" ref="C73:K73" si="15">C63*C74/C16</f>
        <v>234.30885166418247</v>
      </c>
      <c r="D73" s="285">
        <f t="shared" si="15"/>
        <v>232.62765676302158</v>
      </c>
      <c r="E73" s="285">
        <f t="shared" si="15"/>
        <v>230.98153677337746</v>
      </c>
      <c r="F73" s="285">
        <f t="shared" si="15"/>
        <v>230.25046072098533</v>
      </c>
      <c r="G73" s="285">
        <f t="shared" si="15"/>
        <v>229.58170227205673</v>
      </c>
      <c r="H73" s="285">
        <f t="shared" si="15"/>
        <v>228.59704297995768</v>
      </c>
      <c r="I73" s="285">
        <f t="shared" si="15"/>
        <v>227.63462334658192</v>
      </c>
      <c r="J73" s="284">
        <f t="shared" si="15"/>
        <v>227.10338142577717</v>
      </c>
      <c r="K73" s="284">
        <f t="shared" si="15"/>
        <v>226.81753578613822</v>
      </c>
      <c r="L73" s="389">
        <f>L63*L74/L16</f>
        <v>226.35715495917412</v>
      </c>
      <c r="M73" s="389">
        <f>M63*M74/M16</f>
        <v>225.74237688491161</v>
      </c>
    </row>
    <row r="74" spans="1:13" s="284" customFormat="1" ht="15" customHeight="1">
      <c r="A74" s="284" t="s">
        <v>168</v>
      </c>
      <c r="B74" s="285">
        <f>B16*B14/B70</f>
        <v>20.776968414125676</v>
      </c>
      <c r="C74" s="285">
        <f t="shared" ref="C74:K74" si="16">C16*C14/C70</f>
        <v>26.403123331992187</v>
      </c>
      <c r="D74" s="285">
        <f t="shared" si="16"/>
        <v>30.350361411972393</v>
      </c>
      <c r="E74" s="285">
        <f t="shared" si="16"/>
        <v>36.272292061510704</v>
      </c>
      <c r="F74" s="285">
        <f t="shared" si="16"/>
        <v>40.35354006833807</v>
      </c>
      <c r="G74" s="285">
        <f t="shared" si="16"/>
        <v>45.306971246443354</v>
      </c>
      <c r="H74" s="285">
        <f t="shared" si="16"/>
        <v>51.271556100283583</v>
      </c>
      <c r="I74" s="285">
        <f t="shared" si="16"/>
        <v>59.344347160917962</v>
      </c>
      <c r="J74" s="284">
        <f t="shared" si="16"/>
        <v>71.346875657232076</v>
      </c>
      <c r="K74" s="284">
        <f t="shared" si="16"/>
        <v>77.327945493321025</v>
      </c>
      <c r="L74" s="389">
        <f>L16*L14/L70</f>
        <v>88.274748077518723</v>
      </c>
      <c r="M74" s="389">
        <f>M16*M14/M70</f>
        <v>102.20550097446944</v>
      </c>
    </row>
    <row r="75" spans="1:13" s="284" customFormat="1" ht="15" customHeight="1">
      <c r="A75" s="284" t="s">
        <v>169</v>
      </c>
      <c r="B75" s="285">
        <f>ROUND(B74,0)</f>
        <v>21</v>
      </c>
      <c r="C75" s="285">
        <f t="shared" ref="C75:K75" si="17">ROUND(C74,0)</f>
        <v>26</v>
      </c>
      <c r="D75" s="285">
        <f t="shared" si="17"/>
        <v>30</v>
      </c>
      <c r="E75" s="285">
        <f t="shared" si="17"/>
        <v>36</v>
      </c>
      <c r="F75" s="285">
        <f t="shared" si="17"/>
        <v>40</v>
      </c>
      <c r="G75" s="285">
        <f t="shared" si="17"/>
        <v>45</v>
      </c>
      <c r="H75" s="285">
        <f t="shared" si="17"/>
        <v>51</v>
      </c>
      <c r="I75" s="285">
        <f t="shared" si="17"/>
        <v>59</v>
      </c>
      <c r="J75" s="284">
        <f t="shared" si="17"/>
        <v>71</v>
      </c>
      <c r="K75" s="284">
        <f t="shared" si="17"/>
        <v>77</v>
      </c>
      <c r="L75" s="389">
        <f>ROUND(L74,0)</f>
        <v>88</v>
      </c>
      <c r="M75" s="389">
        <f>ROUND(M74,0)</f>
        <v>102</v>
      </c>
    </row>
    <row r="76" spans="1:13" s="284" customFormat="1" ht="15" customHeight="1">
      <c r="A76" s="284" t="s">
        <v>170</v>
      </c>
      <c r="B76" s="285">
        <f>B75*120/B10+B61</f>
        <v>657</v>
      </c>
      <c r="C76" s="285">
        <f>C75*120/U12+C61</f>
        <v>807</v>
      </c>
      <c r="D76" s="285">
        <f>D75*120/V12+D61</f>
        <v>926</v>
      </c>
      <c r="E76" s="285">
        <f t="shared" ref="E76:K76" si="18">E75*120/E10+E61</f>
        <v>1107</v>
      </c>
      <c r="F76" s="285">
        <f t="shared" si="18"/>
        <v>1227</v>
      </c>
      <c r="G76" s="285">
        <f t="shared" si="18"/>
        <v>1377</v>
      </c>
      <c r="H76" s="285">
        <f t="shared" si="18"/>
        <v>1557</v>
      </c>
      <c r="I76" s="285">
        <f t="shared" si="18"/>
        <v>1796</v>
      </c>
      <c r="J76" s="285">
        <f t="shared" si="18"/>
        <v>2157</v>
      </c>
      <c r="K76" s="285">
        <f t="shared" si="18"/>
        <v>2336</v>
      </c>
      <c r="L76" s="285">
        <f>L75*120/L10+L61</f>
        <v>2665</v>
      </c>
      <c r="M76" s="285">
        <f>M75*120/M10+M61</f>
        <v>3084</v>
      </c>
    </row>
    <row r="77" spans="1:13" s="284" customFormat="1" ht="15" customHeight="1">
      <c r="A77" s="284" t="s">
        <v>171</v>
      </c>
      <c r="B77" s="285">
        <f>B11</f>
        <v>540</v>
      </c>
      <c r="C77" s="285">
        <f t="shared" ref="C77:K77" si="19">C11</f>
        <v>540</v>
      </c>
      <c r="D77" s="285">
        <f t="shared" si="19"/>
        <v>540</v>
      </c>
      <c r="E77" s="285">
        <f t="shared" si="19"/>
        <v>540</v>
      </c>
      <c r="F77" s="285">
        <f t="shared" si="19"/>
        <v>540</v>
      </c>
      <c r="G77" s="285">
        <f t="shared" si="19"/>
        <v>540</v>
      </c>
      <c r="H77" s="285">
        <f t="shared" si="19"/>
        <v>540</v>
      </c>
      <c r="I77" s="285">
        <f t="shared" si="19"/>
        <v>540</v>
      </c>
      <c r="J77" s="284">
        <f t="shared" si="19"/>
        <v>540</v>
      </c>
      <c r="K77" s="284">
        <f t="shared" si="19"/>
        <v>520</v>
      </c>
      <c r="L77" s="389">
        <f>L11</f>
        <v>500</v>
      </c>
      <c r="M77" s="389">
        <f>M11</f>
        <v>480</v>
      </c>
    </row>
    <row r="78" spans="1:13" s="284" customFormat="1" ht="15" customHeight="1">
      <c r="A78" s="284" t="s">
        <v>172</v>
      </c>
      <c r="B78" s="285">
        <f>B76*B77*PI()/30000</f>
        <v>37.152474721352895</v>
      </c>
      <c r="C78" s="285">
        <f t="shared" ref="C78:K78" si="20">C76*C77*PI()/30000</f>
        <v>45.634774886045335</v>
      </c>
      <c r="D78" s="285">
        <f t="shared" si="20"/>
        <v>52.364066350034669</v>
      </c>
      <c r="E78" s="285">
        <f t="shared" si="20"/>
        <v>62.599375215430214</v>
      </c>
      <c r="F78" s="285">
        <f t="shared" si="20"/>
        <v>69.385215347184172</v>
      </c>
      <c r="G78" s="285">
        <f t="shared" si="20"/>
        <v>77.867515511876604</v>
      </c>
      <c r="H78" s="285">
        <f t="shared" si="20"/>
        <v>88.04627570950754</v>
      </c>
      <c r="I78" s="285">
        <f t="shared" si="20"/>
        <v>101.56140730525082</v>
      </c>
      <c r="J78" s="284">
        <f t="shared" si="20"/>
        <v>121.9754763682773</v>
      </c>
      <c r="K78" s="284">
        <f t="shared" si="20"/>
        <v>127.20518093895312</v>
      </c>
      <c r="L78" s="389">
        <f>L76*L77*PI()/30000</f>
        <v>139.53907369694664</v>
      </c>
      <c r="M78" s="389">
        <f>M76*M77*PI()/30000</f>
        <v>155.01874789873477</v>
      </c>
    </row>
    <row r="79" spans="1:13" s="284" customFormat="1" ht="15" customHeight="1">
      <c r="A79" s="284" t="s">
        <v>173</v>
      </c>
      <c r="B79" s="285">
        <f>(3*B23/1000*B15^2+3*B73^2/B25+3*B24/1000*(B15^2-B32^2)+100)/1000</f>
        <v>4.3285562698163105</v>
      </c>
      <c r="C79" s="285">
        <f t="shared" ref="C79:K79" si="21">(3*C23/1000*C15^2+3*C73^2/C25+3*C24/1000*(C15^2-C32^2)+100)/1000</f>
        <v>4.5810073251550376</v>
      </c>
      <c r="D79" s="285">
        <f t="shared" si="21"/>
        <v>4.5942367089695928</v>
      </c>
      <c r="E79" s="285">
        <f t="shared" si="21"/>
        <v>4.723704767614934</v>
      </c>
      <c r="F79" s="285">
        <f t="shared" si="21"/>
        <v>4.7792482616684397</v>
      </c>
      <c r="G79" s="285">
        <f t="shared" si="21"/>
        <v>4.8853251807798097</v>
      </c>
      <c r="H79" s="285">
        <f t="shared" si="21"/>
        <v>4.9743452285232026</v>
      </c>
      <c r="I79" s="285">
        <f t="shared" si="21"/>
        <v>5.1226407691137137</v>
      </c>
      <c r="J79" s="284">
        <f t="shared" si="21"/>
        <v>5.4123978625530071</v>
      </c>
      <c r="K79" s="284">
        <f t="shared" si="21"/>
        <v>5.3032389679950489</v>
      </c>
      <c r="L79" s="389">
        <f>(3*L23/1000*L15^2+3*L73^2/L25+3*L24/1000*(L15^2-L32^2)+100)/1000</f>
        <v>5.3269268317186667</v>
      </c>
      <c r="M79" s="389">
        <f>(3*M23/1000*M15^2+3*M73^2/M25+3*M24/1000*(M15^2-M32^2)+100)/1000</f>
        <v>5.4721110189070288</v>
      </c>
    </row>
    <row r="80" spans="1:13" s="284" customFormat="1" ht="15" customHeight="1">
      <c r="A80" s="284" t="s">
        <v>174</v>
      </c>
      <c r="B80" s="285">
        <f>B78-B79</f>
        <v>32.823918451536585</v>
      </c>
      <c r="C80" s="285">
        <f t="shared" ref="C80:K80" si="22">C78-C79</f>
        <v>41.0537675608903</v>
      </c>
      <c r="D80" s="285">
        <f t="shared" si="22"/>
        <v>47.769829641065073</v>
      </c>
      <c r="E80" s="285">
        <f t="shared" si="22"/>
        <v>57.875670447815281</v>
      </c>
      <c r="F80" s="285">
        <f t="shared" si="22"/>
        <v>64.605967085515729</v>
      </c>
      <c r="G80" s="285">
        <f t="shared" si="22"/>
        <v>72.982190331096788</v>
      </c>
      <c r="H80" s="285">
        <f t="shared" si="22"/>
        <v>83.071930480984335</v>
      </c>
      <c r="I80" s="285">
        <f t="shared" si="22"/>
        <v>96.438766536137109</v>
      </c>
      <c r="J80" s="284">
        <f t="shared" si="22"/>
        <v>116.56307850572429</v>
      </c>
      <c r="K80" s="284">
        <f t="shared" si="22"/>
        <v>121.90194197095808</v>
      </c>
      <c r="L80" s="389">
        <f>L78-L79</f>
        <v>134.21214686522796</v>
      </c>
      <c r="M80" s="389">
        <f>M78-M79</f>
        <v>149.54663687982776</v>
      </c>
    </row>
    <row r="81" spans="1:13" s="284" customFormat="1" ht="15" customHeight="1">
      <c r="A81" s="284" t="s">
        <v>175</v>
      </c>
      <c r="B81" s="285">
        <f>B80/B78</f>
        <v>0.88349211452855037</v>
      </c>
      <c r="C81" s="285">
        <f t="shared" ref="C81:K81" si="23">C80/C78</f>
        <v>0.89961586670265659</v>
      </c>
      <c r="D81" s="285">
        <f t="shared" si="23"/>
        <v>0.91226356107910334</v>
      </c>
      <c r="E81" s="285">
        <f t="shared" si="23"/>
        <v>0.92454070425848944</v>
      </c>
      <c r="F81" s="285">
        <f t="shared" si="23"/>
        <v>0.93112007741484371</v>
      </c>
      <c r="G81" s="285">
        <f t="shared" si="23"/>
        <v>0.93726106260530828</v>
      </c>
      <c r="H81" s="285">
        <f t="shared" si="23"/>
        <v>0.94350305917611843</v>
      </c>
      <c r="I81" s="285">
        <f t="shared" si="23"/>
        <v>0.9495611482251598</v>
      </c>
      <c r="J81" s="284">
        <f t="shared" si="23"/>
        <v>0.9556271635602267</v>
      </c>
      <c r="K81" s="284">
        <f t="shared" si="23"/>
        <v>0.95830956782695731</v>
      </c>
      <c r="L81" s="389">
        <f>L80/L78</f>
        <v>0.96182483736929636</v>
      </c>
      <c r="M81" s="389">
        <f>M80/M78</f>
        <v>0.9647003275856566</v>
      </c>
    </row>
    <row r="82" spans="1:13" s="284" customFormat="1" ht="15" customHeight="1">
      <c r="A82" s="284" t="s">
        <v>176</v>
      </c>
      <c r="B82" s="285">
        <f>B80*1000/3^0.5/B14/B15</f>
        <v>0.83117974359004265</v>
      </c>
      <c r="C82" s="285">
        <f t="shared" ref="C82:K82" si="24">C80*1000/3^0.5/C14/C15</f>
        <v>0.7879788481558625</v>
      </c>
      <c r="D82" s="285">
        <f t="shared" si="24"/>
        <v>0.79161664760078898</v>
      </c>
      <c r="E82" s="285">
        <f t="shared" si="24"/>
        <v>0.79634256226349431</v>
      </c>
      <c r="F82" s="285">
        <f t="shared" si="24"/>
        <v>0.80112269089515908</v>
      </c>
      <c r="G82" s="285">
        <f t="shared" si="24"/>
        <v>0.80474192577744919</v>
      </c>
      <c r="H82" s="285">
        <f t="shared" si="24"/>
        <v>0.80257030497486914</v>
      </c>
      <c r="I82" s="285">
        <f t="shared" si="24"/>
        <v>0.79860797217375545</v>
      </c>
      <c r="J82" s="284">
        <f t="shared" si="24"/>
        <v>0.80538205783690042</v>
      </c>
      <c r="K82" s="284">
        <f t="shared" si="24"/>
        <v>0.80232693811754197</v>
      </c>
      <c r="L82" s="389">
        <f>L80*1000/3^0.5/L14/L15</f>
        <v>0.79752386909383444</v>
      </c>
      <c r="M82" s="389">
        <f>M80*1000/3^0.5/M14/M15</f>
        <v>0.78605964183331911</v>
      </c>
    </row>
    <row r="83" spans="1:13" s="276" customFormat="1" ht="15" customHeight="1">
      <c r="B83" s="275"/>
      <c r="C83" s="275"/>
      <c r="D83" s="275"/>
      <c r="E83" s="275"/>
      <c r="F83" s="275"/>
      <c r="G83" s="275"/>
      <c r="H83" s="275"/>
      <c r="I83" s="275"/>
    </row>
    <row r="84" spans="1:13" s="273" customFormat="1" ht="15" customHeight="1">
      <c r="B84" s="274"/>
      <c r="C84" s="274"/>
      <c r="D84" s="274"/>
      <c r="E84" s="274"/>
      <c r="F84" s="274"/>
      <c r="G84" s="274"/>
      <c r="H84" s="274"/>
      <c r="I84" s="274"/>
    </row>
    <row r="85" spans="1:13" s="273" customFormat="1" ht="15" customHeight="1">
      <c r="B85" s="274"/>
      <c r="C85" s="274"/>
      <c r="D85" s="274"/>
      <c r="E85" s="274"/>
      <c r="F85" s="274"/>
      <c r="G85" s="274"/>
      <c r="H85" s="274"/>
      <c r="I85" s="274"/>
    </row>
    <row r="86" spans="1:13" s="273" customFormat="1" ht="15" customHeight="1">
      <c r="B86" s="274"/>
      <c r="C86" s="274"/>
      <c r="D86" s="274"/>
      <c r="E86" s="274"/>
      <c r="F86" s="274"/>
      <c r="G86" s="274"/>
      <c r="H86" s="274"/>
      <c r="I86" s="274"/>
    </row>
    <row r="87" spans="1:13" s="273" customFormat="1" ht="15" customHeight="1">
      <c r="B87" s="274"/>
      <c r="C87" s="274"/>
      <c r="D87" s="274"/>
      <c r="E87" s="274"/>
      <c r="F87" s="274"/>
      <c r="G87" s="274"/>
      <c r="H87" s="274"/>
      <c r="I87" s="274"/>
    </row>
    <row r="88" spans="1:13" s="273" customFormat="1" ht="15" customHeight="1">
      <c r="B88" s="274"/>
      <c r="C88" s="274"/>
      <c r="D88" s="274"/>
      <c r="E88" s="274"/>
      <c r="F88" s="274"/>
      <c r="G88" s="274"/>
      <c r="H88" s="274"/>
      <c r="I88" s="274"/>
    </row>
    <row r="89" spans="1:13" s="273" customFormat="1" ht="15" customHeight="1">
      <c r="B89" s="274"/>
      <c r="C89" s="274"/>
      <c r="D89" s="274"/>
      <c r="E89" s="274"/>
      <c r="F89" s="274"/>
      <c r="G89" s="274"/>
      <c r="H89" s="274"/>
      <c r="I89" s="274"/>
    </row>
    <row r="90" spans="1:13" s="273" customFormat="1" ht="15" customHeight="1">
      <c r="B90" s="274"/>
      <c r="C90" s="274"/>
      <c r="D90" s="274"/>
      <c r="E90" s="274"/>
      <c r="F90" s="274"/>
      <c r="G90" s="274"/>
      <c r="H90" s="274"/>
      <c r="I90" s="274"/>
    </row>
    <row r="91" spans="1:13" s="273" customFormat="1" ht="15" customHeight="1">
      <c r="B91" s="274"/>
      <c r="C91" s="274"/>
      <c r="D91" s="274"/>
      <c r="E91" s="274"/>
      <c r="F91" s="274"/>
      <c r="G91" s="274"/>
      <c r="H91" s="274"/>
      <c r="I91" s="274"/>
    </row>
    <row r="92" spans="1:13" s="273" customFormat="1" ht="15" customHeight="1">
      <c r="B92" s="274"/>
      <c r="C92" s="274"/>
      <c r="D92" s="274"/>
      <c r="E92" s="274"/>
      <c r="F92" s="274"/>
      <c r="G92" s="274"/>
      <c r="H92" s="274"/>
      <c r="I92" s="274"/>
    </row>
    <row r="93" spans="1:13" s="273" customFormat="1" ht="15" customHeight="1">
      <c r="B93" s="274"/>
      <c r="C93" s="274"/>
      <c r="D93" s="274"/>
      <c r="E93" s="274"/>
      <c r="F93" s="274"/>
      <c r="G93" s="274"/>
      <c r="H93" s="274"/>
      <c r="I93" s="274"/>
    </row>
    <row r="94" spans="1:13" s="273" customFormat="1" ht="15" customHeight="1">
      <c r="B94" s="274"/>
      <c r="C94" s="274"/>
      <c r="D94" s="274"/>
      <c r="E94" s="274"/>
      <c r="F94" s="274"/>
      <c r="G94" s="274"/>
      <c r="H94" s="274"/>
      <c r="I94" s="274"/>
    </row>
    <row r="95" spans="1:13" s="273" customFormat="1" ht="15" customHeight="1">
      <c r="B95" s="274"/>
      <c r="C95" s="274"/>
      <c r="D95" s="274"/>
      <c r="E95" s="274"/>
      <c r="F95" s="274"/>
      <c r="G95" s="274"/>
      <c r="H95" s="274"/>
      <c r="I95" s="274"/>
    </row>
    <row r="96" spans="1:13" s="273" customFormat="1" ht="15" customHeight="1">
      <c r="B96" s="274"/>
      <c r="C96" s="274"/>
      <c r="D96" s="274"/>
      <c r="E96" s="274"/>
      <c r="F96" s="274"/>
      <c r="G96" s="274"/>
      <c r="H96" s="274"/>
      <c r="I96" s="274"/>
    </row>
    <row r="97" spans="2:9" s="273" customFormat="1" ht="15" customHeight="1">
      <c r="B97" s="274"/>
      <c r="C97" s="274"/>
      <c r="D97" s="274"/>
      <c r="E97" s="274"/>
      <c r="F97" s="274"/>
      <c r="G97" s="274"/>
      <c r="H97" s="274"/>
      <c r="I97" s="274"/>
    </row>
    <row r="98" spans="2:9" s="273" customFormat="1" ht="15" customHeight="1">
      <c r="B98" s="274"/>
      <c r="C98" s="274"/>
      <c r="D98" s="274"/>
      <c r="E98" s="274"/>
      <c r="F98" s="274"/>
      <c r="G98" s="274"/>
      <c r="H98" s="274"/>
      <c r="I98" s="274"/>
    </row>
    <row r="99" spans="2:9" s="273" customFormat="1" ht="15" customHeight="1">
      <c r="B99" s="274"/>
      <c r="C99" s="274"/>
      <c r="D99" s="274"/>
      <c r="E99" s="274"/>
      <c r="F99" s="274"/>
      <c r="G99" s="274"/>
      <c r="H99" s="274"/>
      <c r="I99" s="274"/>
    </row>
    <row r="100" spans="2:9" s="273" customFormat="1" ht="15" customHeight="1">
      <c r="B100" s="274"/>
      <c r="C100" s="274"/>
      <c r="D100" s="274"/>
      <c r="E100" s="274"/>
      <c r="F100" s="274"/>
      <c r="G100" s="274"/>
      <c r="H100" s="274"/>
      <c r="I100" s="274"/>
    </row>
    <row r="101" spans="2:9" s="273" customFormat="1" ht="15" customHeight="1">
      <c r="B101" s="274"/>
      <c r="C101" s="274"/>
      <c r="D101" s="274"/>
      <c r="E101" s="274"/>
      <c r="F101" s="274"/>
      <c r="G101" s="274"/>
      <c r="H101" s="274"/>
      <c r="I101" s="274"/>
    </row>
    <row r="102" spans="2:9" s="273" customFormat="1" ht="15" customHeight="1">
      <c r="B102" s="274"/>
      <c r="C102" s="274"/>
      <c r="D102" s="274"/>
      <c r="E102" s="274"/>
      <c r="F102" s="274"/>
      <c r="G102" s="274"/>
      <c r="H102" s="274"/>
      <c r="I102" s="274"/>
    </row>
    <row r="103" spans="2:9" s="273" customFormat="1" ht="15" customHeight="1">
      <c r="B103" s="274"/>
      <c r="C103" s="274"/>
      <c r="D103" s="274"/>
      <c r="E103" s="274"/>
      <c r="F103" s="274"/>
      <c r="G103" s="274"/>
      <c r="H103" s="274"/>
      <c r="I103" s="274"/>
    </row>
    <row r="104" spans="2:9" s="273" customFormat="1" ht="15" customHeight="1">
      <c r="B104" s="274"/>
      <c r="C104" s="274"/>
      <c r="D104" s="274"/>
      <c r="E104" s="274"/>
      <c r="F104" s="274"/>
      <c r="G104" s="274"/>
      <c r="H104" s="274"/>
      <c r="I104" s="274"/>
    </row>
    <row r="105" spans="2:9" s="273" customFormat="1" ht="15" customHeight="1">
      <c r="B105" s="274"/>
      <c r="C105" s="274"/>
      <c r="D105" s="274"/>
      <c r="E105" s="274"/>
      <c r="F105" s="274"/>
      <c r="G105" s="274"/>
      <c r="H105" s="274"/>
      <c r="I105" s="274"/>
    </row>
    <row r="106" spans="2:9" s="273" customFormat="1" ht="15" customHeight="1">
      <c r="B106" s="274"/>
      <c r="C106" s="274"/>
      <c r="D106" s="274"/>
      <c r="E106" s="274"/>
      <c r="F106" s="274"/>
      <c r="G106" s="274"/>
      <c r="H106" s="274"/>
      <c r="I106" s="274"/>
    </row>
    <row r="107" spans="2:9" s="273" customFormat="1" ht="15" customHeight="1">
      <c r="B107" s="274"/>
      <c r="C107" s="274"/>
      <c r="D107" s="274"/>
      <c r="E107" s="274"/>
      <c r="F107" s="274"/>
      <c r="G107" s="274"/>
      <c r="H107" s="274"/>
      <c r="I107" s="274"/>
    </row>
    <row r="108" spans="2:9" s="276" customFormat="1" ht="15" customHeight="1">
      <c r="B108" s="275"/>
      <c r="C108" s="275"/>
      <c r="D108" s="275"/>
      <c r="E108" s="275"/>
      <c r="F108" s="275"/>
      <c r="G108" s="275"/>
      <c r="H108" s="275"/>
      <c r="I108" s="275"/>
    </row>
    <row r="109" spans="2:9" s="276" customFormat="1" ht="15" customHeight="1">
      <c r="B109" s="275"/>
      <c r="C109" s="275"/>
      <c r="D109" s="275"/>
      <c r="E109" s="275"/>
      <c r="F109" s="275"/>
      <c r="G109" s="275"/>
      <c r="H109" s="275"/>
      <c r="I109" s="275"/>
    </row>
    <row r="110" spans="2:9" s="276" customFormat="1" ht="15" customHeight="1">
      <c r="B110" s="275"/>
      <c r="C110" s="275"/>
      <c r="D110" s="275"/>
      <c r="E110" s="275"/>
      <c r="F110" s="275"/>
      <c r="G110" s="275"/>
      <c r="H110" s="275"/>
      <c r="I110" s="275"/>
    </row>
    <row r="111" spans="2:9" s="276" customFormat="1" ht="15" customHeight="1">
      <c r="B111" s="275"/>
      <c r="C111" s="275"/>
      <c r="D111" s="275"/>
      <c r="E111" s="275"/>
      <c r="F111" s="275"/>
      <c r="G111" s="275"/>
      <c r="H111" s="275"/>
      <c r="I111" s="275"/>
    </row>
    <row r="112" spans="2:9" ht="15" customHeight="1">
      <c r="B112" s="230"/>
      <c r="C112" s="230"/>
      <c r="D112" s="230"/>
      <c r="E112" s="230"/>
      <c r="F112" s="230"/>
      <c r="G112" s="230"/>
      <c r="H112" s="230"/>
      <c r="I112" s="230"/>
    </row>
    <row r="113" spans="2:9" ht="15" customHeight="1">
      <c r="B113" s="230"/>
      <c r="C113" s="230"/>
      <c r="D113" s="230"/>
      <c r="E113" s="230"/>
      <c r="F113" s="230"/>
      <c r="G113" s="230"/>
      <c r="H113" s="230"/>
      <c r="I113" s="230"/>
    </row>
    <row r="114" spans="2:9" ht="15" customHeight="1">
      <c r="B114" s="230"/>
      <c r="C114" s="230"/>
      <c r="D114" s="230"/>
      <c r="E114" s="230"/>
      <c r="F114" s="230"/>
      <c r="G114" s="230"/>
      <c r="H114" s="230"/>
      <c r="I114" s="230"/>
    </row>
    <row r="115" spans="2:9" ht="15" customHeight="1">
      <c r="B115" s="230"/>
      <c r="C115" s="230"/>
      <c r="D115" s="230"/>
      <c r="E115" s="230"/>
      <c r="F115" s="230"/>
      <c r="G115" s="230"/>
      <c r="H115" s="230"/>
      <c r="I115" s="230"/>
    </row>
    <row r="116" spans="2:9" ht="15" customHeight="1">
      <c r="B116" s="230"/>
      <c r="C116" s="230"/>
      <c r="D116" s="230"/>
      <c r="E116" s="230"/>
      <c r="F116" s="230"/>
      <c r="G116" s="230"/>
      <c r="H116" s="230"/>
      <c r="I116" s="230"/>
    </row>
    <row r="117" spans="2:9" ht="15" customHeight="1">
      <c r="B117" s="230"/>
      <c r="C117" s="230"/>
      <c r="D117" s="230"/>
      <c r="E117" s="230"/>
      <c r="F117" s="230"/>
      <c r="G117" s="230"/>
      <c r="H117" s="230"/>
      <c r="I117" s="230"/>
    </row>
    <row r="118" spans="2:9" ht="15" customHeight="1">
      <c r="B118" s="230"/>
      <c r="C118" s="230"/>
      <c r="D118" s="230"/>
      <c r="E118" s="230"/>
      <c r="F118" s="230"/>
      <c r="G118" s="230"/>
      <c r="H118" s="230"/>
      <c r="I118" s="230"/>
    </row>
    <row r="119" spans="2:9" ht="15" customHeight="1">
      <c r="B119" s="230"/>
      <c r="C119" s="230"/>
      <c r="D119" s="230"/>
      <c r="E119" s="230"/>
      <c r="F119" s="230"/>
      <c r="G119" s="230"/>
      <c r="H119" s="230"/>
      <c r="I119" s="230"/>
    </row>
    <row r="120" spans="2:9" ht="15" customHeight="1">
      <c r="B120" s="230"/>
      <c r="C120" s="230"/>
      <c r="D120" s="230"/>
      <c r="E120" s="230"/>
      <c r="F120" s="230"/>
      <c r="G120" s="230"/>
      <c r="H120" s="230"/>
      <c r="I120" s="230"/>
    </row>
    <row r="121" spans="2:9" ht="15" customHeight="1">
      <c r="B121" s="230"/>
      <c r="C121" s="230"/>
      <c r="D121" s="230"/>
      <c r="E121" s="230"/>
      <c r="F121" s="230"/>
      <c r="G121" s="230"/>
      <c r="H121" s="230"/>
      <c r="I121" s="230"/>
    </row>
    <row r="122" spans="2:9" ht="15" customHeight="1">
      <c r="B122" s="230"/>
      <c r="C122" s="230"/>
      <c r="D122" s="230"/>
      <c r="E122" s="230"/>
      <c r="F122" s="230"/>
      <c r="G122" s="230"/>
      <c r="H122" s="230"/>
      <c r="I122" s="230"/>
    </row>
  </sheetData>
  <sheetProtection sheet="1" objects="1" scenarios="1"/>
  <pageMargins left="0.74803149606299213" right="0.39370078740157483" top="0.39370078740157483" bottom="0.59055118110236227" header="0.19685039370078741" footer="0.39370078740157483"/>
  <pageSetup paperSize="9" scale="41" fitToHeight="2" orientation="portrait" horizontalDpi="120" verticalDpi="144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3073" r:id="rId4">
          <objectPr defaultSize="0" autoPict="0" r:id="rId5">
            <anchor moveWithCells="1">
              <from>
                <xdr:col>0</xdr:col>
                <xdr:colOff>104775</xdr:colOff>
                <xdr:row>1</xdr:row>
                <xdr:rowOff>142875</xdr:rowOff>
              </from>
              <to>
                <xdr:col>1</xdr:col>
                <xdr:colOff>723900</xdr:colOff>
                <xdr:row>4</xdr:row>
                <xdr:rowOff>76200</xdr:rowOff>
              </to>
            </anchor>
          </objectPr>
        </oleObject>
      </mc:Choice>
      <mc:Fallback>
        <oleObject progId="Word.Picture.8" shapeId="3073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J153"/>
  <sheetViews>
    <sheetView zoomScaleNormal="100" zoomScaleSheetLayoutView="80" workbookViewId="0">
      <selection activeCell="F21" sqref="F21:G22"/>
    </sheetView>
  </sheetViews>
  <sheetFormatPr defaultColWidth="10.7109375" defaultRowHeight="15" customHeight="1"/>
  <cols>
    <col min="1" max="2" width="11.7109375" style="76" customWidth="1"/>
    <col min="3" max="4" width="11.7109375" style="89" customWidth="1"/>
    <col min="5" max="5" width="11.7109375" style="76" customWidth="1"/>
    <col min="6" max="6" width="11.7109375" style="89" customWidth="1"/>
    <col min="7" max="8" width="11.7109375" style="76" customWidth="1"/>
    <col min="9" max="9" width="11.7109375" style="89" customWidth="1"/>
    <col min="10" max="10" width="11.7109375" style="158" customWidth="1"/>
    <col min="11" max="11" width="11.7109375" style="76" customWidth="1"/>
    <col min="12" max="12" width="11.7109375" style="89" customWidth="1"/>
    <col min="13" max="14" width="11.7109375" style="76" customWidth="1"/>
    <col min="15" max="28" width="8.7109375" style="435" customWidth="1"/>
    <col min="29" max="29" width="10.7109375" style="435" customWidth="1"/>
    <col min="30" max="31" width="10.7109375" style="193" customWidth="1"/>
    <col min="32" max="34" width="10.7109375" style="76" customWidth="1"/>
    <col min="35" max="52" width="10.7109375" style="193" customWidth="1"/>
    <col min="53" max="56" width="10.7109375" style="75" customWidth="1"/>
    <col min="57" max="256" width="10.7109375" style="76"/>
    <col min="257" max="270" width="11" style="76" customWidth="1"/>
    <col min="271" max="284" width="8.7109375" style="76" customWidth="1"/>
    <col min="285" max="512" width="10.7109375" style="76"/>
    <col min="513" max="526" width="11" style="76" customWidth="1"/>
    <col min="527" max="540" width="8.7109375" style="76" customWidth="1"/>
    <col min="541" max="768" width="10.7109375" style="76"/>
    <col min="769" max="782" width="11" style="76" customWidth="1"/>
    <col min="783" max="796" width="8.7109375" style="76" customWidth="1"/>
    <col min="797" max="1024" width="10.7109375" style="76"/>
    <col min="1025" max="1038" width="11" style="76" customWidth="1"/>
    <col min="1039" max="1052" width="8.7109375" style="76" customWidth="1"/>
    <col min="1053" max="1280" width="10.7109375" style="76"/>
    <col min="1281" max="1294" width="11" style="76" customWidth="1"/>
    <col min="1295" max="1308" width="8.7109375" style="76" customWidth="1"/>
    <col min="1309" max="1536" width="10.7109375" style="76"/>
    <col min="1537" max="1550" width="11" style="76" customWidth="1"/>
    <col min="1551" max="1564" width="8.7109375" style="76" customWidth="1"/>
    <col min="1565" max="1792" width="10.7109375" style="76"/>
    <col min="1793" max="1806" width="11" style="76" customWidth="1"/>
    <col min="1807" max="1820" width="8.7109375" style="76" customWidth="1"/>
    <col min="1821" max="2048" width="10.7109375" style="76"/>
    <col min="2049" max="2062" width="11" style="76" customWidth="1"/>
    <col min="2063" max="2076" width="8.7109375" style="76" customWidth="1"/>
    <col min="2077" max="2304" width="10.7109375" style="76"/>
    <col min="2305" max="2318" width="11" style="76" customWidth="1"/>
    <col min="2319" max="2332" width="8.7109375" style="76" customWidth="1"/>
    <col min="2333" max="2560" width="10.7109375" style="76"/>
    <col min="2561" max="2574" width="11" style="76" customWidth="1"/>
    <col min="2575" max="2588" width="8.7109375" style="76" customWidth="1"/>
    <col min="2589" max="2816" width="10.7109375" style="76"/>
    <col min="2817" max="2830" width="11" style="76" customWidth="1"/>
    <col min="2831" max="2844" width="8.7109375" style="76" customWidth="1"/>
    <col min="2845" max="3072" width="10.7109375" style="76"/>
    <col min="3073" max="3086" width="11" style="76" customWidth="1"/>
    <col min="3087" max="3100" width="8.7109375" style="76" customWidth="1"/>
    <col min="3101" max="3328" width="10.7109375" style="76"/>
    <col min="3329" max="3342" width="11" style="76" customWidth="1"/>
    <col min="3343" max="3356" width="8.7109375" style="76" customWidth="1"/>
    <col min="3357" max="3584" width="10.7109375" style="76"/>
    <col min="3585" max="3598" width="11" style="76" customWidth="1"/>
    <col min="3599" max="3612" width="8.7109375" style="76" customWidth="1"/>
    <col min="3613" max="3840" width="10.7109375" style="76"/>
    <col min="3841" max="3854" width="11" style="76" customWidth="1"/>
    <col min="3855" max="3868" width="8.7109375" style="76" customWidth="1"/>
    <col min="3869" max="4096" width="10.7109375" style="76"/>
    <col min="4097" max="4110" width="11" style="76" customWidth="1"/>
    <col min="4111" max="4124" width="8.7109375" style="76" customWidth="1"/>
    <col min="4125" max="4352" width="10.7109375" style="76"/>
    <col min="4353" max="4366" width="11" style="76" customWidth="1"/>
    <col min="4367" max="4380" width="8.7109375" style="76" customWidth="1"/>
    <col min="4381" max="4608" width="10.7109375" style="76"/>
    <col min="4609" max="4622" width="11" style="76" customWidth="1"/>
    <col min="4623" max="4636" width="8.7109375" style="76" customWidth="1"/>
    <col min="4637" max="4864" width="10.7109375" style="76"/>
    <col min="4865" max="4878" width="11" style="76" customWidth="1"/>
    <col min="4879" max="4892" width="8.7109375" style="76" customWidth="1"/>
    <col min="4893" max="5120" width="10.7109375" style="76"/>
    <col min="5121" max="5134" width="11" style="76" customWidth="1"/>
    <col min="5135" max="5148" width="8.7109375" style="76" customWidth="1"/>
    <col min="5149" max="5376" width="10.7109375" style="76"/>
    <col min="5377" max="5390" width="11" style="76" customWidth="1"/>
    <col min="5391" max="5404" width="8.7109375" style="76" customWidth="1"/>
    <col min="5405" max="5632" width="10.7109375" style="76"/>
    <col min="5633" max="5646" width="11" style="76" customWidth="1"/>
    <col min="5647" max="5660" width="8.7109375" style="76" customWidth="1"/>
    <col min="5661" max="5888" width="10.7109375" style="76"/>
    <col min="5889" max="5902" width="11" style="76" customWidth="1"/>
    <col min="5903" max="5916" width="8.7109375" style="76" customWidth="1"/>
    <col min="5917" max="6144" width="10.7109375" style="76"/>
    <col min="6145" max="6158" width="11" style="76" customWidth="1"/>
    <col min="6159" max="6172" width="8.7109375" style="76" customWidth="1"/>
    <col min="6173" max="6400" width="10.7109375" style="76"/>
    <col min="6401" max="6414" width="11" style="76" customWidth="1"/>
    <col min="6415" max="6428" width="8.7109375" style="76" customWidth="1"/>
    <col min="6429" max="6656" width="10.7109375" style="76"/>
    <col min="6657" max="6670" width="11" style="76" customWidth="1"/>
    <col min="6671" max="6684" width="8.7109375" style="76" customWidth="1"/>
    <col min="6685" max="6912" width="10.7109375" style="76"/>
    <col min="6913" max="6926" width="11" style="76" customWidth="1"/>
    <col min="6927" max="6940" width="8.7109375" style="76" customWidth="1"/>
    <col min="6941" max="7168" width="10.7109375" style="76"/>
    <col min="7169" max="7182" width="11" style="76" customWidth="1"/>
    <col min="7183" max="7196" width="8.7109375" style="76" customWidth="1"/>
    <col min="7197" max="7424" width="10.7109375" style="76"/>
    <col min="7425" max="7438" width="11" style="76" customWidth="1"/>
    <col min="7439" max="7452" width="8.7109375" style="76" customWidth="1"/>
    <col min="7453" max="7680" width="10.7109375" style="76"/>
    <col min="7681" max="7694" width="11" style="76" customWidth="1"/>
    <col min="7695" max="7708" width="8.7109375" style="76" customWidth="1"/>
    <col min="7709" max="7936" width="10.7109375" style="76"/>
    <col min="7937" max="7950" width="11" style="76" customWidth="1"/>
    <col min="7951" max="7964" width="8.7109375" style="76" customWidth="1"/>
    <col min="7965" max="8192" width="10.7109375" style="76"/>
    <col min="8193" max="8206" width="11" style="76" customWidth="1"/>
    <col min="8207" max="8220" width="8.7109375" style="76" customWidth="1"/>
    <col min="8221" max="8448" width="10.7109375" style="76"/>
    <col min="8449" max="8462" width="11" style="76" customWidth="1"/>
    <col min="8463" max="8476" width="8.7109375" style="76" customWidth="1"/>
    <col min="8477" max="8704" width="10.7109375" style="76"/>
    <col min="8705" max="8718" width="11" style="76" customWidth="1"/>
    <col min="8719" max="8732" width="8.7109375" style="76" customWidth="1"/>
    <col min="8733" max="8960" width="10.7109375" style="76"/>
    <col min="8961" max="8974" width="11" style="76" customWidth="1"/>
    <col min="8975" max="8988" width="8.7109375" style="76" customWidth="1"/>
    <col min="8989" max="9216" width="10.7109375" style="76"/>
    <col min="9217" max="9230" width="11" style="76" customWidth="1"/>
    <col min="9231" max="9244" width="8.7109375" style="76" customWidth="1"/>
    <col min="9245" max="9472" width="10.7109375" style="76"/>
    <col min="9473" max="9486" width="11" style="76" customWidth="1"/>
    <col min="9487" max="9500" width="8.7109375" style="76" customWidth="1"/>
    <col min="9501" max="9728" width="10.7109375" style="76"/>
    <col min="9729" max="9742" width="11" style="76" customWidth="1"/>
    <col min="9743" max="9756" width="8.7109375" style="76" customWidth="1"/>
    <col min="9757" max="9984" width="10.7109375" style="76"/>
    <col min="9985" max="9998" width="11" style="76" customWidth="1"/>
    <col min="9999" max="10012" width="8.7109375" style="76" customWidth="1"/>
    <col min="10013" max="10240" width="10.7109375" style="76"/>
    <col min="10241" max="10254" width="11" style="76" customWidth="1"/>
    <col min="10255" max="10268" width="8.7109375" style="76" customWidth="1"/>
    <col min="10269" max="10496" width="10.7109375" style="76"/>
    <col min="10497" max="10510" width="11" style="76" customWidth="1"/>
    <col min="10511" max="10524" width="8.7109375" style="76" customWidth="1"/>
    <col min="10525" max="10752" width="10.7109375" style="76"/>
    <col min="10753" max="10766" width="11" style="76" customWidth="1"/>
    <col min="10767" max="10780" width="8.7109375" style="76" customWidth="1"/>
    <col min="10781" max="11008" width="10.7109375" style="76"/>
    <col min="11009" max="11022" width="11" style="76" customWidth="1"/>
    <col min="11023" max="11036" width="8.7109375" style="76" customWidth="1"/>
    <col min="11037" max="11264" width="10.7109375" style="76"/>
    <col min="11265" max="11278" width="11" style="76" customWidth="1"/>
    <col min="11279" max="11292" width="8.7109375" style="76" customWidth="1"/>
    <col min="11293" max="11520" width="10.7109375" style="76"/>
    <col min="11521" max="11534" width="11" style="76" customWidth="1"/>
    <col min="11535" max="11548" width="8.7109375" style="76" customWidth="1"/>
    <col min="11549" max="11776" width="10.7109375" style="76"/>
    <col min="11777" max="11790" width="11" style="76" customWidth="1"/>
    <col min="11791" max="11804" width="8.7109375" style="76" customWidth="1"/>
    <col min="11805" max="12032" width="10.7109375" style="76"/>
    <col min="12033" max="12046" width="11" style="76" customWidth="1"/>
    <col min="12047" max="12060" width="8.7109375" style="76" customWidth="1"/>
    <col min="12061" max="12288" width="10.7109375" style="76"/>
    <col min="12289" max="12302" width="11" style="76" customWidth="1"/>
    <col min="12303" max="12316" width="8.7109375" style="76" customWidth="1"/>
    <col min="12317" max="12544" width="10.7109375" style="76"/>
    <col min="12545" max="12558" width="11" style="76" customWidth="1"/>
    <col min="12559" max="12572" width="8.7109375" style="76" customWidth="1"/>
    <col min="12573" max="12800" width="10.7109375" style="76"/>
    <col min="12801" max="12814" width="11" style="76" customWidth="1"/>
    <col min="12815" max="12828" width="8.7109375" style="76" customWidth="1"/>
    <col min="12829" max="13056" width="10.7109375" style="76"/>
    <col min="13057" max="13070" width="11" style="76" customWidth="1"/>
    <col min="13071" max="13084" width="8.7109375" style="76" customWidth="1"/>
    <col min="13085" max="13312" width="10.7109375" style="76"/>
    <col min="13313" max="13326" width="11" style="76" customWidth="1"/>
    <col min="13327" max="13340" width="8.7109375" style="76" customWidth="1"/>
    <col min="13341" max="13568" width="10.7109375" style="76"/>
    <col min="13569" max="13582" width="11" style="76" customWidth="1"/>
    <col min="13583" max="13596" width="8.7109375" style="76" customWidth="1"/>
    <col min="13597" max="13824" width="10.7109375" style="76"/>
    <col min="13825" max="13838" width="11" style="76" customWidth="1"/>
    <col min="13839" max="13852" width="8.7109375" style="76" customWidth="1"/>
    <col min="13853" max="14080" width="10.7109375" style="76"/>
    <col min="14081" max="14094" width="11" style="76" customWidth="1"/>
    <col min="14095" max="14108" width="8.7109375" style="76" customWidth="1"/>
    <col min="14109" max="14336" width="10.7109375" style="76"/>
    <col min="14337" max="14350" width="11" style="76" customWidth="1"/>
    <col min="14351" max="14364" width="8.7109375" style="76" customWidth="1"/>
    <col min="14365" max="14592" width="10.7109375" style="76"/>
    <col min="14593" max="14606" width="11" style="76" customWidth="1"/>
    <col min="14607" max="14620" width="8.7109375" style="76" customWidth="1"/>
    <col min="14621" max="14848" width="10.7109375" style="76"/>
    <col min="14849" max="14862" width="11" style="76" customWidth="1"/>
    <col min="14863" max="14876" width="8.7109375" style="76" customWidth="1"/>
    <col min="14877" max="15104" width="10.7109375" style="76"/>
    <col min="15105" max="15118" width="11" style="76" customWidth="1"/>
    <col min="15119" max="15132" width="8.7109375" style="76" customWidth="1"/>
    <col min="15133" max="15360" width="10.7109375" style="76"/>
    <col min="15361" max="15374" width="11" style="76" customWidth="1"/>
    <col min="15375" max="15388" width="8.7109375" style="76" customWidth="1"/>
    <col min="15389" max="15616" width="10.7109375" style="76"/>
    <col min="15617" max="15630" width="11" style="76" customWidth="1"/>
    <col min="15631" max="15644" width="8.7109375" style="76" customWidth="1"/>
    <col min="15645" max="15872" width="10.7109375" style="76"/>
    <col min="15873" max="15886" width="11" style="76" customWidth="1"/>
    <col min="15887" max="15900" width="8.7109375" style="76" customWidth="1"/>
    <col min="15901" max="16128" width="10.7109375" style="76"/>
    <col min="16129" max="16142" width="11" style="76" customWidth="1"/>
    <col min="16143" max="16156" width="8.7109375" style="76" customWidth="1"/>
    <col min="16157" max="16384" width="10.7109375" style="76"/>
  </cols>
  <sheetData>
    <row r="1" spans="1:59" ht="20.100000000000001" customHeight="1">
      <c r="A1" s="66"/>
      <c r="B1" s="67"/>
      <c r="C1" s="68"/>
      <c r="D1" s="69"/>
      <c r="E1" s="70"/>
      <c r="F1" s="70"/>
      <c r="G1" s="70"/>
      <c r="H1" s="70"/>
      <c r="I1" s="70"/>
      <c r="J1" s="71"/>
      <c r="K1" s="72"/>
      <c r="L1" s="73" t="s">
        <v>7</v>
      </c>
      <c r="M1" s="587" t="str">
        <f>RESUM!O2</f>
        <v>DT-QT 160 P</v>
      </c>
      <c r="N1" s="588"/>
      <c r="O1" s="492"/>
      <c r="P1" s="492"/>
      <c r="Q1" s="492"/>
      <c r="R1" s="492"/>
      <c r="S1" s="492"/>
      <c r="T1" s="492"/>
      <c r="U1" s="492"/>
      <c r="V1" s="492"/>
      <c r="W1" s="492"/>
      <c r="X1" s="492"/>
      <c r="Y1" s="492"/>
      <c r="Z1" s="492"/>
      <c r="AA1" s="492"/>
      <c r="AB1" s="492"/>
      <c r="AC1" s="492"/>
      <c r="AD1" s="493"/>
      <c r="AE1" s="493"/>
      <c r="AF1" s="493"/>
      <c r="AG1" s="493"/>
      <c r="AH1" s="493"/>
      <c r="AI1" s="493"/>
      <c r="AJ1" s="493"/>
      <c r="AK1" s="493"/>
      <c r="AL1" s="493"/>
      <c r="AM1" s="493"/>
      <c r="AN1" s="493"/>
      <c r="AO1" s="493"/>
      <c r="AP1" s="493"/>
      <c r="AQ1" s="493"/>
      <c r="AR1" s="493"/>
      <c r="AS1" s="493"/>
      <c r="AT1" s="493"/>
      <c r="AU1" s="493"/>
      <c r="AV1" s="493"/>
      <c r="AW1" s="493"/>
      <c r="AX1" s="493"/>
      <c r="AY1" s="493"/>
      <c r="AZ1" s="493"/>
      <c r="BA1" s="493"/>
      <c r="BB1" s="493"/>
      <c r="BC1" s="493"/>
      <c r="BD1" s="493"/>
      <c r="BE1" s="493"/>
      <c r="BF1" s="493"/>
      <c r="BG1" s="493"/>
    </row>
    <row r="2" spans="1:59" ht="20.100000000000001" customHeight="1">
      <c r="A2" s="77"/>
      <c r="C2" s="78"/>
      <c r="D2" s="678" t="str">
        <f>RESUM!G2</f>
        <v>MAC QT 160 P</v>
      </c>
      <c r="E2" s="679"/>
      <c r="F2" s="679"/>
      <c r="G2" s="679"/>
      <c r="H2" s="679"/>
      <c r="I2" s="679"/>
      <c r="J2" s="679"/>
      <c r="K2" s="680"/>
      <c r="L2" s="79" t="s">
        <v>8</v>
      </c>
      <c r="M2" s="681" t="str">
        <f>'driving mode datasheet'!M2</f>
        <v>06</v>
      </c>
      <c r="N2" s="593"/>
      <c r="O2" s="492"/>
      <c r="P2" s="492"/>
      <c r="Q2" s="492"/>
      <c r="R2" s="492"/>
      <c r="S2" s="492"/>
      <c r="T2" s="492"/>
      <c r="U2" s="492"/>
      <c r="V2" s="492"/>
      <c r="W2" s="492"/>
      <c r="X2" s="492"/>
      <c r="Y2" s="492"/>
      <c r="Z2" s="492"/>
      <c r="AA2" s="492"/>
      <c r="AB2" s="492"/>
      <c r="AC2" s="492"/>
      <c r="AD2" s="493"/>
      <c r="AE2" s="493"/>
      <c r="AF2" s="493"/>
      <c r="AG2" s="493"/>
      <c r="AH2" s="493"/>
      <c r="AI2" s="493"/>
      <c r="AJ2" s="493"/>
      <c r="AK2" s="493"/>
      <c r="AL2" s="493"/>
      <c r="AM2" s="493"/>
      <c r="AN2" s="493"/>
      <c r="AO2" s="493"/>
      <c r="AP2" s="493"/>
      <c r="AQ2" s="493"/>
      <c r="AR2" s="493"/>
      <c r="AS2" s="493"/>
      <c r="AT2" s="493"/>
      <c r="AU2" s="493"/>
      <c r="AV2" s="493"/>
      <c r="AW2" s="493"/>
      <c r="AX2" s="493"/>
      <c r="AY2" s="493"/>
      <c r="AZ2" s="493"/>
      <c r="BA2" s="493"/>
      <c r="BB2" s="493"/>
      <c r="BC2" s="493"/>
      <c r="BD2" s="493"/>
      <c r="BE2" s="493"/>
      <c r="BF2" s="493"/>
      <c r="BG2" s="493"/>
    </row>
    <row r="3" spans="1:59" ht="20.100000000000001" customHeight="1">
      <c r="A3" s="77"/>
      <c r="C3" s="78"/>
      <c r="D3" s="594" t="s">
        <v>177</v>
      </c>
      <c r="E3" s="595"/>
      <c r="F3" s="595"/>
      <c r="G3" s="595"/>
      <c r="H3" s="595"/>
      <c r="I3" s="595"/>
      <c r="J3" s="595"/>
      <c r="K3" s="596"/>
      <c r="L3" s="79" t="s">
        <v>10</v>
      </c>
      <c r="M3" s="681" t="str">
        <f>'driving mode datasheet'!M3</f>
        <v>1 de 3</v>
      </c>
      <c r="N3" s="593"/>
      <c r="O3" s="492"/>
      <c r="P3" s="492"/>
      <c r="Q3" s="492"/>
      <c r="R3" s="492"/>
      <c r="S3" s="492"/>
      <c r="T3" s="492"/>
      <c r="U3" s="492"/>
      <c r="V3" s="492"/>
      <c r="W3" s="492"/>
      <c r="X3" s="492"/>
      <c r="Y3" s="492"/>
      <c r="Z3" s="492"/>
      <c r="AA3" s="492"/>
      <c r="AB3" s="492"/>
      <c r="AC3" s="492"/>
      <c r="AD3" s="493"/>
      <c r="AE3" s="493"/>
      <c r="AF3" s="493"/>
      <c r="AG3" s="493"/>
      <c r="AH3" s="493"/>
      <c r="AI3" s="493"/>
      <c r="AJ3" s="493"/>
      <c r="AK3" s="493"/>
      <c r="AL3" s="493"/>
      <c r="AM3" s="493"/>
      <c r="AN3" s="493"/>
      <c r="AO3" s="493"/>
      <c r="AP3" s="493"/>
      <c r="AQ3" s="493"/>
      <c r="AR3" s="493"/>
      <c r="AS3" s="493"/>
      <c r="AT3" s="493"/>
      <c r="AU3" s="493"/>
      <c r="AV3" s="493"/>
      <c r="AW3" s="493"/>
      <c r="AX3" s="493"/>
      <c r="AY3" s="493"/>
      <c r="AZ3" s="493"/>
      <c r="BA3" s="493"/>
      <c r="BB3" s="493"/>
      <c r="BC3" s="493"/>
      <c r="BD3" s="493"/>
      <c r="BE3" s="493"/>
      <c r="BF3" s="493"/>
      <c r="BG3" s="493"/>
    </row>
    <row r="4" spans="1:59" ht="20.100000000000001" customHeight="1">
      <c r="A4" s="77"/>
      <c r="C4" s="78"/>
      <c r="D4" s="572" t="s">
        <v>178</v>
      </c>
      <c r="E4" s="573"/>
      <c r="F4" s="573"/>
      <c r="G4" s="573"/>
      <c r="H4" s="573"/>
      <c r="I4" s="573"/>
      <c r="J4" s="573"/>
      <c r="K4" s="574"/>
      <c r="L4" s="79" t="s">
        <v>13</v>
      </c>
      <c r="M4" s="575">
        <f>'driving mode datasheet'!M4</f>
        <v>45239</v>
      </c>
      <c r="N4" s="576"/>
      <c r="O4" s="492"/>
      <c r="P4" s="492"/>
      <c r="Q4" s="492"/>
      <c r="R4" s="492"/>
      <c r="S4" s="492"/>
      <c r="T4" s="492"/>
      <c r="U4" s="492"/>
      <c r="V4" s="492"/>
      <c r="W4" s="492"/>
      <c r="X4" s="492"/>
      <c r="Y4" s="492"/>
      <c r="Z4" s="492"/>
      <c r="AA4" s="492"/>
      <c r="AB4" s="492"/>
      <c r="AC4" s="492"/>
      <c r="AD4" s="493"/>
      <c r="AE4" s="493"/>
      <c r="AF4" s="493"/>
      <c r="AG4" s="493"/>
      <c r="AH4" s="493"/>
      <c r="AI4" s="493"/>
      <c r="AJ4" s="493"/>
      <c r="AK4" s="493"/>
      <c r="AL4" s="493"/>
      <c r="AM4" s="493"/>
      <c r="AN4" s="493"/>
      <c r="AO4" s="493"/>
      <c r="AP4" s="493"/>
      <c r="AQ4" s="493"/>
      <c r="AR4" s="493"/>
      <c r="AS4" s="493"/>
      <c r="AT4" s="493"/>
      <c r="AU4" s="493"/>
      <c r="AV4" s="493"/>
      <c r="AW4" s="493"/>
      <c r="AX4" s="493"/>
      <c r="AY4" s="493"/>
      <c r="AZ4" s="493"/>
      <c r="BA4" s="493"/>
      <c r="BB4" s="493"/>
      <c r="BC4" s="493"/>
      <c r="BD4" s="493"/>
      <c r="BE4" s="493"/>
      <c r="BF4" s="493"/>
      <c r="BG4" s="493"/>
    </row>
    <row r="5" spans="1:59" ht="20.100000000000001" customHeight="1" thickBot="1">
      <c r="A5" s="80"/>
      <c r="B5" s="81"/>
      <c r="C5" s="82"/>
      <c r="D5" s="83"/>
      <c r="E5" s="84"/>
      <c r="F5" s="85"/>
      <c r="G5" s="84"/>
      <c r="H5" s="84"/>
      <c r="I5" s="85"/>
      <c r="J5" s="86"/>
      <c r="K5" s="87"/>
      <c r="L5" s="84"/>
      <c r="M5" s="580"/>
      <c r="N5" s="581"/>
      <c r="O5" s="492"/>
      <c r="P5" s="492"/>
      <c r="Q5" s="492"/>
      <c r="R5" s="492"/>
      <c r="S5" s="492"/>
      <c r="T5" s="492"/>
      <c r="U5" s="492"/>
      <c r="V5" s="492"/>
      <c r="W5" s="492"/>
      <c r="X5" s="492"/>
      <c r="Y5" s="492"/>
      <c r="Z5" s="492"/>
      <c r="AA5" s="492"/>
      <c r="AB5" s="492"/>
      <c r="AC5" s="492"/>
      <c r="AD5" s="493"/>
      <c r="AE5" s="493"/>
      <c r="AF5" s="493"/>
      <c r="AG5" s="493"/>
      <c r="AH5" s="493"/>
      <c r="AI5" s="493"/>
      <c r="AJ5" s="493"/>
      <c r="AK5" s="493"/>
      <c r="AL5" s="493"/>
      <c r="AM5" s="493"/>
      <c r="AN5" s="493"/>
      <c r="AO5" s="493"/>
      <c r="AP5" s="493"/>
      <c r="AQ5" s="493"/>
      <c r="AR5" s="493"/>
      <c r="AS5" s="493"/>
      <c r="AT5" s="493"/>
      <c r="AU5" s="493"/>
      <c r="AV5" s="493"/>
      <c r="AW5" s="493"/>
      <c r="AX5" s="493"/>
      <c r="AY5" s="493"/>
      <c r="AZ5" s="493"/>
      <c r="BA5" s="493"/>
      <c r="BB5" s="493"/>
      <c r="BC5" s="493"/>
      <c r="BD5" s="493"/>
      <c r="BE5" s="493"/>
      <c r="BF5" s="493"/>
      <c r="BG5" s="493"/>
    </row>
    <row r="6" spans="1:59" ht="21" customHeight="1" thickBot="1">
      <c r="B6" s="88"/>
      <c r="D6" s="90"/>
      <c r="E6" s="90"/>
      <c r="F6" s="90"/>
      <c r="G6" s="91"/>
      <c r="H6" s="91"/>
      <c r="I6" s="92"/>
      <c r="J6" s="92"/>
      <c r="K6" s="91"/>
      <c r="L6" s="91"/>
      <c r="M6" s="91"/>
      <c r="N6" s="88"/>
      <c r="O6" s="492"/>
      <c r="P6" s="492"/>
      <c r="Q6" s="492"/>
      <c r="R6" s="492"/>
      <c r="S6" s="492"/>
      <c r="T6" s="492"/>
      <c r="U6" s="492"/>
      <c r="V6" s="492"/>
      <c r="W6" s="492"/>
      <c r="X6" s="492"/>
      <c r="Y6" s="492"/>
      <c r="Z6" s="492"/>
      <c r="AA6" s="492"/>
      <c r="AB6" s="492"/>
      <c r="AC6" s="492"/>
      <c r="AD6" s="493"/>
      <c r="AE6" s="493"/>
      <c r="AF6" s="493"/>
      <c r="AG6" s="493"/>
      <c r="AH6" s="493"/>
      <c r="AI6" s="493"/>
      <c r="AJ6" s="493"/>
      <c r="AK6" s="493"/>
      <c r="AL6" s="493"/>
      <c r="AM6" s="493"/>
      <c r="AN6" s="493"/>
      <c r="AO6" s="493"/>
      <c r="AP6" s="493"/>
      <c r="AQ6" s="493"/>
      <c r="AR6" s="493"/>
      <c r="AS6" s="493"/>
      <c r="AT6" s="493"/>
      <c r="AU6" s="493"/>
      <c r="AV6" s="493"/>
      <c r="AW6" s="493"/>
      <c r="AX6" s="493"/>
      <c r="AY6" s="493"/>
      <c r="AZ6" s="493"/>
      <c r="BA6" s="493"/>
      <c r="BB6" s="493"/>
      <c r="BC6" s="493"/>
      <c r="BD6" s="493"/>
      <c r="BE6" s="493"/>
      <c r="BF6" s="493"/>
      <c r="BG6" s="493"/>
    </row>
    <row r="7" spans="1:59" s="101" customFormat="1" ht="18" customHeight="1" thickBot="1">
      <c r="A7" s="93" t="s">
        <v>14</v>
      </c>
      <c r="B7" s="94"/>
      <c r="C7" s="94"/>
      <c r="D7" s="95"/>
      <c r="E7" s="96" t="s">
        <v>15</v>
      </c>
      <c r="F7" s="97"/>
      <c r="G7" s="98" t="s">
        <v>16</v>
      </c>
      <c r="H7" s="658" t="str">
        <f>'driving mode datasheet'!H7</f>
        <v>6012 ZZ C3</v>
      </c>
      <c r="I7" s="658"/>
      <c r="J7" s="695" t="str">
        <f>'driving mode datasheet'!J7</f>
        <v>Trasero</v>
      </c>
      <c r="K7" s="695"/>
      <c r="L7" s="695"/>
      <c r="M7" s="658" t="str">
        <f>'driving mode datasheet'!M7</f>
        <v>6010 ZZ C3</v>
      </c>
      <c r="N7" s="660"/>
      <c r="O7" s="494"/>
      <c r="P7" s="494"/>
      <c r="Q7" s="494"/>
      <c r="R7" s="494"/>
      <c r="S7" s="494"/>
      <c r="T7" s="494"/>
      <c r="U7" s="494"/>
      <c r="V7" s="494"/>
      <c r="W7" s="494"/>
      <c r="X7" s="494"/>
      <c r="Y7" s="494"/>
      <c r="Z7" s="494"/>
      <c r="AA7" s="494"/>
      <c r="AB7" s="494"/>
      <c r="AC7" s="494"/>
      <c r="AD7" s="494"/>
      <c r="AE7" s="494"/>
      <c r="AF7" s="494"/>
      <c r="AG7" s="494"/>
      <c r="AH7" s="494"/>
      <c r="AI7" s="494"/>
      <c r="AJ7" s="494"/>
      <c r="AK7" s="494"/>
      <c r="AL7" s="494"/>
      <c r="AM7" s="494"/>
      <c r="AN7" s="494"/>
      <c r="AO7" s="494"/>
      <c r="AP7" s="494"/>
      <c r="AQ7" s="494"/>
      <c r="AR7" s="494"/>
      <c r="AS7" s="494"/>
      <c r="AT7" s="494"/>
      <c r="AU7" s="494"/>
      <c r="AV7" s="494"/>
      <c r="AW7" s="494"/>
      <c r="AX7" s="494"/>
      <c r="AY7" s="494"/>
      <c r="AZ7" s="494"/>
      <c r="BA7" s="494"/>
      <c r="BB7" s="494"/>
      <c r="BC7" s="494"/>
      <c r="BD7" s="494"/>
      <c r="BE7" s="494"/>
      <c r="BF7" s="494"/>
      <c r="BG7" s="494"/>
    </row>
    <row r="8" spans="1:59" s="101" customFormat="1" ht="18" customHeight="1" thickBot="1">
      <c r="A8" s="102" t="s">
        <v>17</v>
      </c>
      <c r="B8" s="98"/>
      <c r="C8" s="658" t="str">
        <f>'driving mode datasheet'!C8</f>
        <v>IC 06</v>
      </c>
      <c r="D8" s="656"/>
      <c r="E8" s="103" t="s">
        <v>19</v>
      </c>
      <c r="F8" s="104"/>
      <c r="G8" s="105" t="s">
        <v>20</v>
      </c>
      <c r="H8" s="659"/>
      <c r="I8" s="659"/>
      <c r="J8" s="665" t="str">
        <f>'driving mode datasheet'!J8</f>
        <v>Non Drive End</v>
      </c>
      <c r="K8" s="665"/>
      <c r="L8" s="665"/>
      <c r="M8" s="661"/>
      <c r="N8" s="662"/>
      <c r="O8" s="494"/>
      <c r="P8" s="494"/>
      <c r="Q8" s="494"/>
      <c r="R8" s="494"/>
      <c r="S8" s="494"/>
      <c r="T8" s="494"/>
      <c r="U8" s="494"/>
      <c r="V8" s="494"/>
      <c r="W8" s="494"/>
      <c r="X8" s="494"/>
      <c r="Y8" s="494"/>
      <c r="Z8" s="494"/>
      <c r="AA8" s="494"/>
      <c r="AB8" s="494"/>
      <c r="AC8" s="494"/>
      <c r="AD8" s="494"/>
      <c r="AE8" s="494"/>
      <c r="AF8" s="494"/>
      <c r="AG8" s="494"/>
      <c r="AH8" s="494"/>
      <c r="AI8" s="494"/>
      <c r="AJ8" s="494"/>
      <c r="AK8" s="494"/>
      <c r="AL8" s="494"/>
      <c r="AM8" s="494"/>
      <c r="AN8" s="494"/>
      <c r="AO8" s="494"/>
      <c r="AP8" s="494"/>
      <c r="AQ8" s="494"/>
      <c r="AR8" s="494"/>
      <c r="AS8" s="494"/>
      <c r="AT8" s="494"/>
      <c r="AU8" s="494"/>
      <c r="AV8" s="494"/>
      <c r="AW8" s="494"/>
      <c r="AX8" s="494"/>
      <c r="AY8" s="494"/>
      <c r="AZ8" s="494"/>
      <c r="BA8" s="494"/>
      <c r="BB8" s="494"/>
      <c r="BC8" s="494"/>
      <c r="BD8" s="494"/>
      <c r="BE8" s="494"/>
      <c r="BF8" s="494"/>
      <c r="BG8" s="494"/>
    </row>
    <row r="9" spans="1:59" s="101" customFormat="1" ht="18" customHeight="1" thickBot="1">
      <c r="A9" s="381" t="s">
        <v>21</v>
      </c>
      <c r="B9" s="382"/>
      <c r="C9" s="663"/>
      <c r="D9" s="664"/>
      <c r="E9" s="106" t="s">
        <v>22</v>
      </c>
      <c r="F9" s="642">
        <f>'driving mode datasheet'!F9</f>
        <v>4</v>
      </c>
      <c r="G9" s="107" t="s">
        <v>23</v>
      </c>
      <c r="H9" s="99"/>
      <c r="I9" s="666">
        <f>'driving mode datasheet'!I9</f>
        <v>0.46263199999999999</v>
      </c>
      <c r="J9" s="667"/>
      <c r="K9" s="108" t="s">
        <v>24</v>
      </c>
      <c r="M9" s="670">
        <f>'driving mode datasheet'!M9</f>
        <v>387</v>
      </c>
      <c r="N9" s="671"/>
      <c r="O9" s="494"/>
      <c r="P9" s="505" t="str">
        <f>'driving mode datasheet'!P9</f>
        <v xml:space="preserve">   400V 50Hz</v>
      </c>
      <c r="Q9" s="494"/>
      <c r="R9" s="506"/>
      <c r="S9" s="506"/>
      <c r="T9" s="506"/>
      <c r="U9" s="494"/>
      <c r="V9" s="494"/>
      <c r="W9" s="494"/>
      <c r="X9" s="494"/>
      <c r="Y9" s="494"/>
      <c r="Z9" s="494"/>
      <c r="AA9" s="494"/>
      <c r="AB9" s="494"/>
      <c r="AC9" s="494"/>
      <c r="AD9" s="494"/>
      <c r="AE9" s="494"/>
      <c r="AF9" s="494"/>
      <c r="AG9" s="494"/>
      <c r="AH9" s="494"/>
      <c r="AI9" s="494"/>
      <c r="AJ9" s="494"/>
      <c r="AK9" s="494"/>
      <c r="AL9" s="495"/>
      <c r="AM9" s="495"/>
      <c r="AN9" s="495"/>
      <c r="AO9" s="496"/>
      <c r="AP9" s="495"/>
      <c r="AQ9" s="494"/>
      <c r="AR9" s="494"/>
      <c r="AS9" s="494"/>
      <c r="AT9" s="494"/>
      <c r="AU9" s="494"/>
      <c r="AV9" s="494"/>
      <c r="AW9" s="494"/>
      <c r="AX9" s="494"/>
      <c r="AY9" s="494"/>
      <c r="AZ9" s="494"/>
      <c r="BA9" s="494"/>
      <c r="BB9" s="494"/>
      <c r="BC9" s="494"/>
      <c r="BD9" s="494"/>
      <c r="BE9" s="494"/>
      <c r="BF9" s="494"/>
      <c r="BG9" s="494"/>
    </row>
    <row r="10" spans="1:59" s="101" customFormat="1" ht="18" customHeight="1" thickBot="1">
      <c r="A10" s="107" t="s">
        <v>25</v>
      </c>
      <c r="B10" s="97"/>
      <c r="C10" s="99"/>
      <c r="D10" s="383"/>
      <c r="E10" s="109" t="s">
        <v>26</v>
      </c>
      <c r="F10" s="657"/>
      <c r="G10" s="674" t="s">
        <v>27</v>
      </c>
      <c r="H10" s="675"/>
      <c r="I10" s="668"/>
      <c r="J10" s="669"/>
      <c r="K10" s="111" t="s">
        <v>28</v>
      </c>
      <c r="L10" s="112"/>
      <c r="M10" s="672"/>
      <c r="N10" s="673"/>
      <c r="O10" s="494"/>
      <c r="P10" s="505" t="str">
        <f>'driving mode datasheet'!P10</f>
        <v xml:space="preserve">   480V 60Hz</v>
      </c>
      <c r="Q10" s="507">
        <v>1</v>
      </c>
      <c r="R10" s="494"/>
      <c r="S10" s="508"/>
      <c r="T10" s="506"/>
      <c r="U10" s="494"/>
      <c r="V10" s="494"/>
      <c r="W10" s="494"/>
      <c r="X10" s="494"/>
      <c r="Y10" s="494"/>
      <c r="Z10" s="494"/>
      <c r="AA10" s="494"/>
      <c r="AB10" s="494"/>
      <c r="AC10" s="494"/>
      <c r="AD10" s="494"/>
      <c r="AE10" s="494"/>
      <c r="AF10" s="494"/>
      <c r="AG10" s="494"/>
      <c r="AH10" s="494"/>
      <c r="AI10" s="494"/>
      <c r="AJ10" s="494"/>
      <c r="AK10" s="494"/>
      <c r="AL10" s="495"/>
      <c r="AM10" s="495"/>
      <c r="AN10" s="495"/>
      <c r="AO10" s="496"/>
      <c r="AP10" s="495"/>
      <c r="AQ10" s="494"/>
      <c r="AR10" s="494"/>
      <c r="AS10" s="494"/>
      <c r="AT10" s="494"/>
      <c r="AU10" s="494"/>
      <c r="AV10" s="494"/>
      <c r="AW10" s="494"/>
      <c r="AX10" s="494"/>
      <c r="AY10" s="494"/>
      <c r="AZ10" s="494"/>
      <c r="BA10" s="494"/>
      <c r="BB10" s="494"/>
      <c r="BC10" s="494"/>
      <c r="BD10" s="494"/>
      <c r="BE10" s="494"/>
      <c r="BF10" s="494"/>
      <c r="BG10" s="494"/>
    </row>
    <row r="11" spans="1:59" s="101" customFormat="1" ht="18" customHeight="1">
      <c r="A11" s="113" t="s">
        <v>29</v>
      </c>
      <c r="B11" s="114"/>
      <c r="C11" s="640" t="str">
        <f>IF($Q$10=1,P11,IF($Q$10=2,Q11,""))</f>
        <v>1,50 kW</v>
      </c>
      <c r="D11" s="641"/>
      <c r="E11" s="115" t="s">
        <v>30</v>
      </c>
      <c r="F11" s="116"/>
      <c r="G11" s="642" t="str">
        <f>'driving mode datasheet'!G11</f>
        <v>IP 23</v>
      </c>
      <c r="H11" s="117" t="s">
        <v>31</v>
      </c>
      <c r="I11" s="99"/>
      <c r="J11" s="118" t="str">
        <f>'driving mode datasheet'!J11</f>
        <v>IM B3</v>
      </c>
      <c r="K11" s="119" t="s">
        <v>33</v>
      </c>
      <c r="L11" s="107" t="s">
        <v>34</v>
      </c>
      <c r="M11" s="96"/>
      <c r="N11" s="644" t="str">
        <f>'driving mode datasheet'!N11</f>
        <v>B</v>
      </c>
      <c r="O11" s="494"/>
      <c r="P11" s="505" t="str">
        <f>'driving mode datasheet'!P11</f>
        <v>1,50 kW</v>
      </c>
      <c r="Q11" s="505" t="str">
        <f>'driving mode datasheet'!Q11</f>
        <v>1,8 kW</v>
      </c>
      <c r="R11" s="494"/>
      <c r="S11" s="506"/>
      <c r="T11" s="506"/>
      <c r="U11" s="494"/>
      <c r="V11" s="494"/>
      <c r="W11" s="494"/>
      <c r="X11" s="494"/>
      <c r="Y11" s="494"/>
      <c r="Z11" s="494"/>
      <c r="AA11" s="494"/>
      <c r="AB11" s="494"/>
      <c r="AC11" s="494"/>
      <c r="AD11" s="494"/>
      <c r="AE11" s="494"/>
      <c r="AF11" s="494"/>
      <c r="AG11" s="494"/>
      <c r="AH11" s="494"/>
      <c r="AI11" s="494"/>
      <c r="AJ11" s="494"/>
      <c r="AK11" s="494"/>
      <c r="AL11" s="495"/>
      <c r="AM11" s="495"/>
      <c r="AN11" s="496"/>
      <c r="AO11" s="495"/>
      <c r="AP11" s="494"/>
      <c r="AQ11" s="494"/>
      <c r="AR11" s="494"/>
      <c r="AS11" s="494"/>
      <c r="AT11" s="494"/>
      <c r="AU11" s="494"/>
      <c r="AV11" s="494"/>
      <c r="AW11" s="494"/>
      <c r="AX11" s="494"/>
      <c r="AY11" s="494"/>
      <c r="AZ11" s="494"/>
      <c r="BA11" s="494"/>
      <c r="BB11" s="494"/>
      <c r="BC11" s="494"/>
      <c r="BD11" s="494"/>
      <c r="BE11" s="494"/>
      <c r="BF11" s="494"/>
      <c r="BG11" s="494"/>
    </row>
    <row r="12" spans="1:59" s="101" customFormat="1" ht="18" customHeight="1" thickBot="1">
      <c r="A12" s="113" t="s">
        <v>36</v>
      </c>
      <c r="B12" s="114"/>
      <c r="C12" s="640" t="str">
        <f>IF($Q$10=1,P12,IF($Q$10=2,Q12,""))</f>
        <v>3.1A</v>
      </c>
      <c r="D12" s="641"/>
      <c r="E12" s="120" t="s">
        <v>37</v>
      </c>
      <c r="F12" s="121"/>
      <c r="G12" s="643"/>
      <c r="H12" s="122" t="s">
        <v>38</v>
      </c>
      <c r="I12" s="110"/>
      <c r="J12" s="121" t="str">
        <f>'driving mode datasheet'!J12</f>
        <v>IM B35</v>
      </c>
      <c r="K12" s="123" t="s">
        <v>40</v>
      </c>
      <c r="L12" s="124" t="s">
        <v>41</v>
      </c>
      <c r="M12" s="106"/>
      <c r="N12" s="645"/>
      <c r="O12" s="494"/>
      <c r="P12" s="505" t="str">
        <f>'driving mode datasheet'!P12</f>
        <v>3.1A</v>
      </c>
      <c r="Q12" s="505" t="str">
        <f>'driving mode datasheet'!Q12</f>
        <v>3.0 A</v>
      </c>
      <c r="R12" s="494"/>
      <c r="S12" s="506"/>
      <c r="T12" s="506"/>
      <c r="U12" s="494"/>
      <c r="V12" s="494"/>
      <c r="W12" s="494"/>
      <c r="X12" s="494"/>
      <c r="Y12" s="494"/>
      <c r="Z12" s="494"/>
      <c r="AA12" s="494"/>
      <c r="AB12" s="494"/>
      <c r="AC12" s="494"/>
      <c r="AD12" s="494"/>
      <c r="AE12" s="494"/>
      <c r="AF12" s="494"/>
      <c r="AG12" s="494"/>
      <c r="AH12" s="494"/>
      <c r="AI12" s="494"/>
      <c r="AJ12" s="494"/>
      <c r="AK12" s="494"/>
      <c r="AL12" s="495"/>
      <c r="AM12" s="495"/>
      <c r="AN12" s="496"/>
      <c r="AO12" s="495"/>
      <c r="AP12" s="494"/>
      <c r="AQ12" s="494"/>
      <c r="AR12" s="494"/>
      <c r="AS12" s="494"/>
      <c r="AT12" s="494"/>
      <c r="AU12" s="494"/>
      <c r="AV12" s="494"/>
      <c r="AW12" s="494"/>
      <c r="AX12" s="494"/>
      <c r="AY12" s="494"/>
      <c r="AZ12" s="494"/>
      <c r="BA12" s="494"/>
      <c r="BB12" s="494"/>
      <c r="BC12" s="494"/>
      <c r="BD12" s="494"/>
      <c r="BE12" s="494"/>
      <c r="BF12" s="494"/>
      <c r="BG12" s="494"/>
    </row>
    <row r="13" spans="1:59" s="101" customFormat="1" ht="18" customHeight="1">
      <c r="A13" s="113" t="s">
        <v>42</v>
      </c>
      <c r="B13" s="114"/>
      <c r="C13" s="640" t="str">
        <f>IF($Q$10=1,P13,IF($Q$10=2,Q13,""))</f>
        <v>2850 rpm</v>
      </c>
      <c r="D13" s="641"/>
      <c r="E13" s="125" t="s">
        <v>43</v>
      </c>
      <c r="F13" s="112"/>
      <c r="G13" s="646" t="str">
        <f>'driving mode datasheet'!G13</f>
        <v>&lt; 80 dB</v>
      </c>
      <c r="H13" s="647"/>
      <c r="I13" s="126" t="s">
        <v>44</v>
      </c>
      <c r="J13" s="127"/>
      <c r="K13" s="127"/>
      <c r="L13" s="650">
        <f>'driving mode datasheet'!L13</f>
        <v>6500</v>
      </c>
      <c r="M13" s="650"/>
      <c r="N13" s="651"/>
      <c r="O13" s="494"/>
      <c r="P13" s="505" t="str">
        <f>'driving mode datasheet'!P13</f>
        <v>2850 rpm</v>
      </c>
      <c r="Q13" s="505" t="str">
        <f>'driving mode datasheet'!Q13</f>
        <v>3420 rpm</v>
      </c>
      <c r="R13" s="494"/>
      <c r="S13" s="506"/>
      <c r="T13" s="506"/>
      <c r="U13" s="494"/>
      <c r="V13" s="494"/>
      <c r="W13" s="494"/>
      <c r="X13" s="494"/>
      <c r="Y13" s="494"/>
      <c r="Z13" s="494"/>
      <c r="AA13" s="494"/>
      <c r="AB13" s="494"/>
      <c r="AC13" s="494"/>
      <c r="AD13" s="494"/>
      <c r="AE13" s="494"/>
      <c r="AF13" s="494"/>
      <c r="AG13" s="494"/>
      <c r="AH13" s="494"/>
      <c r="AI13" s="494"/>
      <c r="AJ13" s="494"/>
      <c r="AK13" s="494"/>
      <c r="AL13" s="495"/>
      <c r="AM13" s="495"/>
      <c r="AN13" s="496"/>
      <c r="AO13" s="495"/>
      <c r="AP13" s="494"/>
      <c r="AQ13" s="494"/>
      <c r="AR13" s="494"/>
      <c r="AS13" s="494"/>
      <c r="AT13" s="494"/>
      <c r="AU13" s="494"/>
      <c r="AV13" s="494"/>
      <c r="AW13" s="494"/>
      <c r="AX13" s="494"/>
      <c r="AY13" s="494"/>
      <c r="AZ13" s="494"/>
      <c r="BA13" s="494"/>
      <c r="BB13" s="494"/>
      <c r="BC13" s="494"/>
      <c r="BD13" s="494"/>
      <c r="BE13" s="494"/>
      <c r="BF13" s="494"/>
      <c r="BG13" s="494"/>
    </row>
    <row r="14" spans="1:59" s="101" customFormat="1" ht="18" customHeight="1" thickBot="1">
      <c r="A14" s="113" t="s">
        <v>45</v>
      </c>
      <c r="C14" s="640" t="str">
        <f>IF($Q$10=1,P14,IF($Q$10=2,Q14,""))</f>
        <v xml:space="preserve">2170 m3/h </v>
      </c>
      <c r="D14" s="641"/>
      <c r="E14" s="128" t="s">
        <v>46</v>
      </c>
      <c r="F14" s="129"/>
      <c r="G14" s="648"/>
      <c r="H14" s="649"/>
      <c r="I14" s="130" t="s">
        <v>47</v>
      </c>
      <c r="J14" s="129"/>
      <c r="K14" s="129"/>
      <c r="L14" s="652"/>
      <c r="M14" s="652"/>
      <c r="N14" s="653"/>
      <c r="O14" s="494"/>
      <c r="P14" s="505" t="str">
        <f>'driving mode datasheet'!P14</f>
        <v xml:space="preserve">2170 m3/h </v>
      </c>
      <c r="Q14" s="505" t="str">
        <f>'driving mode datasheet'!Q14</f>
        <v xml:space="preserve">2170 m3/h </v>
      </c>
      <c r="R14" s="494"/>
      <c r="S14" s="506"/>
      <c r="T14" s="506"/>
      <c r="U14" s="494"/>
      <c r="V14" s="494"/>
      <c r="W14" s="494"/>
      <c r="X14" s="494"/>
      <c r="Y14" s="494"/>
      <c r="Z14" s="494"/>
      <c r="AA14" s="494"/>
      <c r="AB14" s="494"/>
      <c r="AC14" s="494"/>
      <c r="AD14" s="494"/>
      <c r="AE14" s="494"/>
      <c r="AF14" s="494"/>
      <c r="AG14" s="494"/>
      <c r="AH14" s="494"/>
      <c r="AI14" s="494"/>
      <c r="AJ14" s="494"/>
      <c r="AK14" s="494"/>
      <c r="AL14" s="495"/>
      <c r="AM14" s="495"/>
      <c r="AN14" s="496"/>
      <c r="AO14" s="495"/>
      <c r="AP14" s="494"/>
      <c r="AQ14" s="494"/>
      <c r="AR14" s="494"/>
      <c r="AS14" s="494"/>
      <c r="AT14" s="494"/>
      <c r="AU14" s="494"/>
      <c r="AV14" s="494"/>
      <c r="AW14" s="494"/>
      <c r="AX14" s="494"/>
      <c r="AY14" s="494"/>
      <c r="AZ14" s="494"/>
      <c r="BA14" s="494"/>
      <c r="BB14" s="494"/>
      <c r="BC14" s="494"/>
      <c r="BD14" s="494"/>
      <c r="BE14" s="494"/>
      <c r="BF14" s="494"/>
      <c r="BG14" s="494"/>
    </row>
    <row r="15" spans="1:59" s="101" customFormat="1" ht="18" customHeight="1" thickBot="1">
      <c r="A15" s="131" t="s">
        <v>48</v>
      </c>
      <c r="B15" s="110"/>
      <c r="C15" s="654" t="str">
        <f>IF($Q$10=1,P15,IF($Q$10=2,Q15,""))</f>
        <v>1625 Pa</v>
      </c>
      <c r="D15" s="655"/>
      <c r="E15" s="96" t="s">
        <v>49</v>
      </c>
      <c r="F15" s="656" t="str">
        <f>'driving mode datasheet'!F15</f>
        <v>Cl. H</v>
      </c>
      <c r="G15" s="107" t="s">
        <v>51</v>
      </c>
      <c r="I15" s="656" t="str">
        <f>'driving mode datasheet'!I15</f>
        <v>Cl. F</v>
      </c>
      <c r="J15" s="107" t="s">
        <v>53</v>
      </c>
      <c r="K15" s="656" t="str">
        <f>'driving mode datasheet'!K15</f>
        <v>PTC155º C</v>
      </c>
      <c r="L15" s="390" t="s">
        <v>54</v>
      </c>
      <c r="M15" s="387"/>
      <c r="N15" s="676" t="str">
        <f>'driving mode datasheet'!N15</f>
        <v>3xPt100</v>
      </c>
      <c r="O15" s="494"/>
      <c r="P15" s="505" t="str">
        <f>'driving mode datasheet'!P15</f>
        <v>1625 Pa</v>
      </c>
      <c r="Q15" s="505" t="str">
        <f>'driving mode datasheet'!Q15</f>
        <v>1625 Pa</v>
      </c>
      <c r="R15" s="494"/>
      <c r="S15" s="506"/>
      <c r="T15" s="506"/>
      <c r="U15" s="494"/>
      <c r="V15" s="494"/>
      <c r="W15" s="494"/>
      <c r="X15" s="494"/>
      <c r="Y15" s="494"/>
      <c r="Z15" s="494"/>
      <c r="AA15" s="494"/>
      <c r="AB15" s="494"/>
      <c r="AC15" s="494"/>
      <c r="AD15" s="494"/>
      <c r="AE15" s="494"/>
      <c r="AF15" s="494"/>
      <c r="AG15" s="494"/>
      <c r="AH15" s="494"/>
      <c r="AI15" s="494"/>
      <c r="AJ15" s="494"/>
      <c r="AK15" s="494"/>
      <c r="AL15" s="495"/>
      <c r="AM15" s="495"/>
      <c r="AN15" s="496"/>
      <c r="AO15" s="495"/>
      <c r="AP15" s="494"/>
      <c r="AQ15" s="494"/>
      <c r="AR15" s="494"/>
      <c r="AS15" s="494"/>
      <c r="AT15" s="494"/>
      <c r="AU15" s="494"/>
      <c r="AV15" s="494"/>
      <c r="AW15" s="494"/>
      <c r="AX15" s="494"/>
      <c r="AY15" s="494"/>
      <c r="AZ15" s="494"/>
      <c r="BA15" s="494"/>
      <c r="BB15" s="494"/>
      <c r="BC15" s="494"/>
      <c r="BD15" s="494"/>
      <c r="BE15" s="494"/>
      <c r="BF15" s="494"/>
      <c r="BG15" s="494"/>
    </row>
    <row r="16" spans="1:59" s="101" customFormat="1" ht="18" customHeight="1" thickBot="1">
      <c r="A16" s="685" t="s">
        <v>56</v>
      </c>
      <c r="B16" s="686"/>
      <c r="C16" s="686"/>
      <c r="D16" s="687"/>
      <c r="E16" s="132" t="s">
        <v>57</v>
      </c>
      <c r="F16" s="657"/>
      <c r="G16" s="132" t="s">
        <v>58</v>
      </c>
      <c r="I16" s="657"/>
      <c r="J16" s="132" t="s">
        <v>59</v>
      </c>
      <c r="K16" s="657"/>
      <c r="L16" s="391" t="s">
        <v>60</v>
      </c>
      <c r="M16" s="387"/>
      <c r="N16" s="677"/>
      <c r="O16" s="494"/>
      <c r="P16" s="494"/>
      <c r="Q16" s="494"/>
      <c r="R16" s="494"/>
      <c r="S16" s="494"/>
      <c r="T16" s="494"/>
      <c r="U16" s="494"/>
      <c r="V16" s="494"/>
      <c r="W16" s="494"/>
      <c r="X16" s="494"/>
      <c r="Y16" s="494"/>
      <c r="Z16" s="494"/>
      <c r="AA16" s="494"/>
      <c r="AB16" s="494"/>
      <c r="AC16" s="494"/>
      <c r="AD16" s="494"/>
      <c r="AE16" s="494"/>
      <c r="AF16" s="494"/>
      <c r="AG16" s="494"/>
      <c r="AH16" s="494"/>
      <c r="AI16" s="494"/>
      <c r="AJ16" s="494"/>
      <c r="AK16" s="494"/>
      <c r="AL16" s="495"/>
      <c r="AM16" s="495"/>
      <c r="AN16" s="496"/>
      <c r="AO16" s="495"/>
      <c r="AP16" s="494"/>
      <c r="AQ16" s="494"/>
      <c r="AR16" s="494"/>
      <c r="AS16" s="494"/>
      <c r="AT16" s="494"/>
      <c r="AU16" s="494"/>
      <c r="AV16" s="494"/>
      <c r="AW16" s="494"/>
      <c r="AX16" s="494"/>
      <c r="AY16" s="494"/>
      <c r="AZ16" s="494"/>
      <c r="BA16" s="494"/>
      <c r="BB16" s="494"/>
      <c r="BC16" s="494"/>
      <c r="BD16" s="494"/>
      <c r="BE16" s="494"/>
      <c r="BF16" s="494"/>
      <c r="BG16" s="494"/>
    </row>
    <row r="17" spans="1:59" s="101" customFormat="1" ht="18" customHeight="1">
      <c r="A17" s="685"/>
      <c r="B17" s="686"/>
      <c r="C17" s="686"/>
      <c r="D17" s="687"/>
      <c r="E17" s="107" t="s">
        <v>61</v>
      </c>
      <c r="F17" s="658" t="str">
        <f>'driving mode datasheet'!F17</f>
        <v>&lt; 40 ºC  &lt; 1000 m</v>
      </c>
      <c r="G17" s="658"/>
      <c r="H17" s="656"/>
      <c r="I17" s="107" t="s">
        <v>63</v>
      </c>
      <c r="J17" s="99"/>
      <c r="K17" s="658" t="str">
        <f>'driving mode datasheet'!K17</f>
        <v>4 kHz ; IVIC  C/B acc. EN60034-25</v>
      </c>
      <c r="L17" s="658"/>
      <c r="M17" s="658"/>
      <c r="N17" s="656"/>
      <c r="O17" s="494"/>
      <c r="P17" s="494"/>
      <c r="Q17" s="494"/>
      <c r="R17" s="494"/>
      <c r="S17" s="494"/>
      <c r="T17" s="494"/>
      <c r="U17" s="494"/>
      <c r="V17" s="494"/>
      <c r="W17" s="494"/>
      <c r="X17" s="494"/>
      <c r="Y17" s="494"/>
      <c r="Z17" s="494"/>
      <c r="AA17" s="494"/>
      <c r="AB17" s="494"/>
      <c r="AC17" s="494"/>
      <c r="AD17" s="494"/>
      <c r="AE17" s="494"/>
      <c r="AF17" s="494"/>
      <c r="AG17" s="494"/>
      <c r="AH17" s="494"/>
      <c r="AI17" s="494"/>
      <c r="AJ17" s="494"/>
      <c r="AK17" s="494"/>
      <c r="AL17" s="495"/>
      <c r="AM17" s="495"/>
      <c r="AN17" s="496"/>
      <c r="AO17" s="495"/>
      <c r="AP17" s="494"/>
      <c r="AQ17" s="494"/>
      <c r="AR17" s="494"/>
      <c r="AS17" s="494"/>
      <c r="AT17" s="494"/>
      <c r="AU17" s="494"/>
      <c r="AV17" s="494"/>
      <c r="AW17" s="494"/>
      <c r="AX17" s="494"/>
      <c r="AY17" s="494"/>
      <c r="AZ17" s="494"/>
      <c r="BA17" s="494"/>
      <c r="BB17" s="494"/>
      <c r="BC17" s="494"/>
      <c r="BD17" s="494"/>
      <c r="BE17" s="494"/>
      <c r="BF17" s="494"/>
      <c r="BG17" s="494"/>
    </row>
    <row r="18" spans="1:59" s="101" customFormat="1" ht="18" customHeight="1" thickBot="1">
      <c r="A18" s="688"/>
      <c r="B18" s="689"/>
      <c r="C18" s="689"/>
      <c r="D18" s="690"/>
      <c r="E18" s="132" t="s">
        <v>64</v>
      </c>
      <c r="F18" s="659"/>
      <c r="G18" s="659"/>
      <c r="H18" s="657"/>
      <c r="I18" s="132" t="s">
        <v>65</v>
      </c>
      <c r="J18" s="110"/>
      <c r="K18" s="659"/>
      <c r="L18" s="659"/>
      <c r="M18" s="659"/>
      <c r="N18" s="657"/>
      <c r="O18" s="494"/>
      <c r="P18" s="494"/>
      <c r="Q18" s="494"/>
      <c r="R18" s="494"/>
      <c r="S18" s="494"/>
      <c r="T18" s="494"/>
      <c r="U18" s="494"/>
      <c r="V18" s="494"/>
      <c r="W18" s="494"/>
      <c r="X18" s="494"/>
      <c r="Y18" s="494"/>
      <c r="Z18" s="494"/>
      <c r="AA18" s="494"/>
      <c r="AB18" s="494"/>
      <c r="AC18" s="494"/>
      <c r="AD18" s="494"/>
      <c r="AE18" s="494"/>
      <c r="AF18" s="494"/>
      <c r="AG18" s="494"/>
      <c r="AH18" s="494"/>
      <c r="AI18" s="494"/>
      <c r="AJ18" s="494"/>
      <c r="AK18" s="494"/>
      <c r="AL18" s="495"/>
      <c r="AM18" s="495"/>
      <c r="AN18" s="496"/>
      <c r="AO18" s="495"/>
      <c r="AP18" s="494"/>
      <c r="AQ18" s="494"/>
      <c r="AR18" s="494"/>
      <c r="AS18" s="494"/>
      <c r="AT18" s="494"/>
      <c r="AU18" s="494"/>
      <c r="AV18" s="494"/>
      <c r="AW18" s="494"/>
      <c r="AX18" s="494"/>
      <c r="AY18" s="494"/>
      <c r="AZ18" s="494"/>
      <c r="BA18" s="494"/>
      <c r="BB18" s="494"/>
      <c r="BC18" s="494"/>
      <c r="BD18" s="494"/>
      <c r="BE18" s="494"/>
      <c r="BF18" s="494"/>
      <c r="BG18" s="494"/>
    </row>
    <row r="19" spans="1:59" s="101" customFormat="1" ht="18" customHeight="1">
      <c r="A19" s="107" t="s">
        <v>66</v>
      </c>
      <c r="B19" s="99"/>
      <c r="C19" s="644" t="s">
        <v>67</v>
      </c>
      <c r="D19" s="390" t="s">
        <v>268</v>
      </c>
      <c r="E19" s="553"/>
      <c r="F19" s="676" t="s">
        <v>269</v>
      </c>
      <c r="G19" s="446" t="s">
        <v>251</v>
      </c>
      <c r="H19" s="554"/>
      <c r="I19" s="554"/>
      <c r="J19" s="555"/>
      <c r="K19" s="447" t="s">
        <v>252</v>
      </c>
      <c r="L19" s="99"/>
      <c r="M19" s="448"/>
      <c r="N19" s="449"/>
      <c r="O19" s="494"/>
      <c r="P19" s="494"/>
      <c r="Q19" s="494"/>
      <c r="R19" s="494"/>
      <c r="S19" s="494"/>
      <c r="T19" s="494"/>
      <c r="U19" s="494"/>
      <c r="V19" s="494"/>
      <c r="W19" s="494"/>
      <c r="X19" s="494"/>
      <c r="Y19" s="494"/>
      <c r="Z19" s="494"/>
      <c r="AA19" s="494"/>
      <c r="AB19" s="494"/>
      <c r="AC19" s="494"/>
      <c r="AD19" s="494"/>
      <c r="AE19" s="494"/>
      <c r="AF19" s="494"/>
      <c r="AG19" s="494"/>
      <c r="AH19" s="494"/>
      <c r="AI19" s="494"/>
      <c r="AJ19" s="494"/>
      <c r="AK19" s="494"/>
      <c r="AL19" s="495"/>
      <c r="AM19" s="495"/>
      <c r="AN19" s="496"/>
      <c r="AO19" s="495"/>
      <c r="AP19" s="494"/>
      <c r="AQ19" s="494"/>
      <c r="AR19" s="494"/>
      <c r="AS19" s="494"/>
      <c r="AT19" s="494"/>
      <c r="AU19" s="494"/>
      <c r="AV19" s="494"/>
      <c r="AW19" s="494"/>
      <c r="AX19" s="494"/>
      <c r="AY19" s="494"/>
      <c r="AZ19" s="494"/>
      <c r="BA19" s="494"/>
      <c r="BB19" s="494"/>
      <c r="BC19" s="494"/>
      <c r="BD19" s="494"/>
      <c r="BE19" s="494"/>
      <c r="BF19" s="494"/>
      <c r="BG19" s="494"/>
    </row>
    <row r="20" spans="1:59" s="101" customFormat="1" ht="18" customHeight="1" thickBot="1">
      <c r="A20" s="132" t="s">
        <v>68</v>
      </c>
      <c r="B20" s="110"/>
      <c r="C20" s="645"/>
      <c r="D20" s="391" t="s">
        <v>270</v>
      </c>
      <c r="E20" s="556"/>
      <c r="F20" s="677"/>
      <c r="G20" s="450" t="s">
        <v>253</v>
      </c>
      <c r="H20" s="451"/>
      <c r="I20" s="451"/>
      <c r="J20" s="557"/>
      <c r="K20" s="452" t="s">
        <v>254</v>
      </c>
      <c r="L20" s="110"/>
      <c r="M20" s="453"/>
      <c r="N20" s="454"/>
      <c r="O20" s="494"/>
      <c r="P20" s="494"/>
      <c r="Q20" s="494"/>
      <c r="R20" s="494"/>
      <c r="S20" s="494"/>
      <c r="T20" s="494"/>
      <c r="U20" s="494"/>
      <c r="V20" s="494"/>
      <c r="W20" s="494"/>
      <c r="X20" s="494"/>
      <c r="Y20" s="494"/>
      <c r="Z20" s="494"/>
      <c r="AA20" s="494"/>
      <c r="AB20" s="494"/>
      <c r="AC20" s="494"/>
      <c r="AD20" s="494"/>
      <c r="AE20" s="494"/>
      <c r="AF20" s="494"/>
      <c r="AG20" s="494"/>
      <c r="AH20" s="494"/>
      <c r="AI20" s="494"/>
      <c r="AJ20" s="494"/>
      <c r="AK20" s="494"/>
      <c r="AL20" s="495"/>
      <c r="AM20" s="495"/>
      <c r="AN20" s="496"/>
      <c r="AO20" s="495"/>
      <c r="AP20" s="494"/>
      <c r="AQ20" s="494"/>
      <c r="AR20" s="494"/>
      <c r="AS20" s="494"/>
      <c r="AT20" s="494"/>
      <c r="AU20" s="494"/>
      <c r="AV20" s="494"/>
      <c r="AW20" s="494"/>
      <c r="AX20" s="494"/>
      <c r="AY20" s="494"/>
      <c r="AZ20" s="494"/>
      <c r="BA20" s="494"/>
      <c r="BB20" s="494"/>
      <c r="BC20" s="494"/>
      <c r="BD20" s="494"/>
      <c r="BE20" s="494"/>
      <c r="BF20" s="494"/>
      <c r="BG20" s="494"/>
    </row>
    <row r="21" spans="1:59" s="133" customFormat="1" ht="18" customHeight="1">
      <c r="A21" s="630" t="s">
        <v>69</v>
      </c>
      <c r="B21" s="631"/>
      <c r="C21" s="631"/>
      <c r="D21" s="631"/>
      <c r="E21" s="632" t="s">
        <v>70</v>
      </c>
      <c r="F21" s="624">
        <v>400</v>
      </c>
      <c r="G21" s="625"/>
      <c r="H21" s="630" t="s">
        <v>71</v>
      </c>
      <c r="I21" s="631"/>
      <c r="J21" s="631"/>
      <c r="K21" s="631"/>
      <c r="L21" s="632" t="s">
        <v>72</v>
      </c>
      <c r="M21" s="624">
        <v>400</v>
      </c>
      <c r="N21" s="625"/>
      <c r="O21" s="492"/>
      <c r="P21" s="492"/>
      <c r="Q21" s="492"/>
      <c r="R21" s="492"/>
      <c r="S21" s="492"/>
      <c r="T21" s="492"/>
      <c r="U21" s="492"/>
      <c r="V21" s="492"/>
      <c r="W21" s="492"/>
      <c r="X21" s="492"/>
      <c r="Y21" s="492"/>
      <c r="Z21" s="492"/>
      <c r="AA21" s="492"/>
      <c r="AB21" s="492"/>
      <c r="AC21" s="492"/>
      <c r="AD21" s="492"/>
      <c r="AE21" s="492"/>
      <c r="AF21" s="492"/>
      <c r="AG21" s="492"/>
      <c r="AH21" s="492"/>
      <c r="AI21" s="492"/>
      <c r="AJ21" s="492"/>
      <c r="AK21" s="492"/>
      <c r="AL21" s="497"/>
      <c r="AM21" s="497"/>
      <c r="AN21" s="497"/>
      <c r="AO21" s="498"/>
      <c r="AP21" s="497"/>
      <c r="AQ21" s="492"/>
      <c r="AR21" s="492"/>
      <c r="AS21" s="492"/>
      <c r="AT21" s="492"/>
      <c r="AU21" s="492"/>
      <c r="AV21" s="492"/>
      <c r="AW21" s="492"/>
      <c r="AX21" s="492"/>
      <c r="AY21" s="492"/>
      <c r="AZ21" s="492"/>
      <c r="BA21" s="492"/>
      <c r="BB21" s="492"/>
      <c r="BC21" s="492"/>
      <c r="BD21" s="492"/>
      <c r="BE21" s="492"/>
      <c r="BF21" s="492"/>
      <c r="BG21" s="492"/>
    </row>
    <row r="22" spans="1:59" s="133" customFormat="1" ht="18" customHeight="1" thickBot="1">
      <c r="A22" s="628" t="s">
        <v>73</v>
      </c>
      <c r="B22" s="629"/>
      <c r="C22" s="629"/>
      <c r="D22" s="629"/>
      <c r="E22" s="633"/>
      <c r="F22" s="626"/>
      <c r="G22" s="627"/>
      <c r="H22" s="628" t="s">
        <v>74</v>
      </c>
      <c r="I22" s="629"/>
      <c r="J22" s="629"/>
      <c r="K22" s="629"/>
      <c r="L22" s="633"/>
      <c r="M22" s="626"/>
      <c r="N22" s="627"/>
      <c r="O22" s="492"/>
      <c r="P22" s="492"/>
      <c r="Q22" s="492"/>
      <c r="R22" s="492"/>
      <c r="S22" s="492"/>
      <c r="T22" s="492"/>
      <c r="U22" s="492"/>
      <c r="V22" s="492"/>
      <c r="W22" s="492"/>
      <c r="X22" s="492"/>
      <c r="Y22" s="492"/>
      <c r="Z22" s="492"/>
      <c r="AA22" s="492"/>
      <c r="AB22" s="492"/>
      <c r="AC22" s="492"/>
      <c r="AD22" s="492"/>
      <c r="AE22" s="492"/>
      <c r="AF22" s="492"/>
      <c r="AG22" s="492"/>
      <c r="AH22" s="492"/>
      <c r="AI22" s="492"/>
      <c r="AJ22" s="492"/>
      <c r="AK22" s="492"/>
      <c r="AL22" s="497"/>
      <c r="AM22" s="497"/>
      <c r="AN22" s="497"/>
      <c r="AO22" s="498"/>
      <c r="AP22" s="497"/>
      <c r="AQ22" s="492"/>
      <c r="AR22" s="492"/>
      <c r="AS22" s="492"/>
      <c r="AT22" s="492"/>
      <c r="AU22" s="492"/>
      <c r="AV22" s="492"/>
      <c r="AW22" s="492"/>
      <c r="AX22" s="492"/>
      <c r="AY22" s="492"/>
      <c r="AZ22" s="492"/>
      <c r="BA22" s="492"/>
      <c r="BB22" s="492"/>
      <c r="BC22" s="492"/>
      <c r="BD22" s="492"/>
      <c r="BE22" s="492"/>
      <c r="BF22" s="492"/>
      <c r="BG22" s="492"/>
    </row>
    <row r="23" spans="1:59" s="133" customFormat="1" ht="18" customHeight="1" thickBot="1">
      <c r="B23" s="114"/>
      <c r="C23" s="114"/>
      <c r="D23" s="114"/>
      <c r="E23" s="114"/>
      <c r="F23" s="134" t="str">
        <f>IF(F21&gt;500," Vb   ha de ser / must be  &lt; 500 V"," ")</f>
        <v xml:space="preserve"> </v>
      </c>
      <c r="G23" s="135" t="str">
        <f>IF(M21&gt;500,"  Vc   ha de ser / must be   &lt; 500 V"," ")</f>
        <v xml:space="preserve"> </v>
      </c>
      <c r="H23" s="136"/>
      <c r="I23" s="137"/>
      <c r="J23" s="138"/>
      <c r="K23" s="137"/>
      <c r="L23" s="137"/>
      <c r="M23" s="136"/>
      <c r="N23" s="134" t="str">
        <f>IF(M21&lt;F21,"Vc   ha de ser / must be   &gt; Vb"," ")</f>
        <v xml:space="preserve"> </v>
      </c>
      <c r="O23" s="492"/>
      <c r="P23" s="492"/>
      <c r="Q23" s="492"/>
      <c r="R23" s="492"/>
      <c r="S23" s="492"/>
      <c r="T23" s="492"/>
      <c r="U23" s="492"/>
      <c r="V23" s="492"/>
      <c r="W23" s="492"/>
      <c r="X23" s="492"/>
      <c r="Y23" s="492"/>
      <c r="Z23" s="492"/>
      <c r="AA23" s="492"/>
      <c r="AB23" s="492"/>
      <c r="AC23" s="492"/>
      <c r="AD23" s="492"/>
      <c r="AE23" s="492"/>
      <c r="AF23" s="492"/>
      <c r="AG23" s="492"/>
      <c r="AH23" s="492"/>
      <c r="AI23" s="492"/>
      <c r="AJ23" s="492"/>
      <c r="AK23" s="492"/>
      <c r="AL23" s="497"/>
      <c r="AM23" s="497"/>
      <c r="AN23" s="498"/>
      <c r="AO23" s="497"/>
      <c r="AP23" s="492"/>
      <c r="AQ23" s="492"/>
      <c r="AR23" s="492"/>
      <c r="AS23" s="492"/>
      <c r="AT23" s="492"/>
      <c r="AU23" s="492"/>
      <c r="AV23" s="492"/>
      <c r="AW23" s="492"/>
      <c r="AX23" s="492"/>
      <c r="AY23" s="492"/>
      <c r="AZ23" s="492"/>
      <c r="BA23" s="492"/>
      <c r="BB23" s="492"/>
      <c r="BC23" s="492"/>
      <c r="BD23" s="492"/>
      <c r="BE23" s="492"/>
      <c r="BF23" s="492"/>
      <c r="BG23" s="492"/>
    </row>
    <row r="24" spans="1:59" s="133" customFormat="1" ht="18" customHeight="1">
      <c r="B24" s="609" t="s">
        <v>75</v>
      </c>
      <c r="C24" s="610"/>
      <c r="D24" s="610"/>
      <c r="E24" s="610"/>
      <c r="F24" s="613" t="s">
        <v>76</v>
      </c>
      <c r="G24" s="139"/>
      <c r="H24" s="634" t="s">
        <v>77</v>
      </c>
      <c r="I24" s="635"/>
      <c r="J24" s="635"/>
      <c r="K24" s="635"/>
      <c r="L24" s="638">
        <v>0.4</v>
      </c>
      <c r="M24" s="140" t="str">
        <f>IF(L24&gt;80%,"max 80%","")</f>
        <v/>
      </c>
      <c r="N24" s="141"/>
      <c r="O24" s="492"/>
      <c r="P24" s="492"/>
      <c r="Q24" s="492"/>
      <c r="R24" s="492"/>
      <c r="S24" s="492"/>
      <c r="T24" s="492"/>
      <c r="U24" s="492"/>
      <c r="V24" s="492"/>
      <c r="W24" s="492"/>
      <c r="X24" s="492"/>
      <c r="Y24" s="492"/>
      <c r="Z24" s="492"/>
      <c r="AA24" s="492"/>
      <c r="AB24" s="492"/>
      <c r="AC24" s="492"/>
      <c r="AD24" s="492"/>
      <c r="AE24" s="492"/>
      <c r="AF24" s="492"/>
      <c r="AG24" s="492"/>
      <c r="AH24" s="492"/>
      <c r="AI24" s="492"/>
      <c r="AJ24" s="492"/>
      <c r="AK24" s="492"/>
      <c r="AL24" s="497"/>
      <c r="AM24" s="497"/>
      <c r="AN24" s="498"/>
      <c r="AO24" s="497"/>
      <c r="AP24" s="492"/>
      <c r="AQ24" s="492"/>
      <c r="AR24" s="492"/>
      <c r="AS24" s="492"/>
      <c r="AT24" s="492"/>
      <c r="AU24" s="492"/>
      <c r="AV24" s="492"/>
      <c r="AW24" s="492"/>
      <c r="AX24" s="492"/>
      <c r="AY24" s="492"/>
      <c r="AZ24" s="492"/>
      <c r="BA24" s="492"/>
      <c r="BB24" s="492"/>
      <c r="BC24" s="492"/>
      <c r="BD24" s="492"/>
      <c r="BE24" s="492"/>
      <c r="BF24" s="492"/>
      <c r="BG24" s="492"/>
    </row>
    <row r="25" spans="1:59" s="133" customFormat="1" ht="18" customHeight="1" thickBot="1">
      <c r="A25" s="104"/>
      <c r="B25" s="611"/>
      <c r="C25" s="612"/>
      <c r="D25" s="612"/>
      <c r="E25" s="612"/>
      <c r="F25" s="614"/>
      <c r="G25" s="142"/>
      <c r="H25" s="636"/>
      <c r="I25" s="637"/>
      <c r="J25" s="637"/>
      <c r="K25" s="637"/>
      <c r="L25" s="639"/>
      <c r="M25" s="143" t="str">
        <f>IF(L24&lt;20%,"min 20%","")</f>
        <v/>
      </c>
      <c r="N25" s="84"/>
      <c r="O25" s="492"/>
      <c r="P25" s="492"/>
      <c r="Q25" s="492"/>
      <c r="R25" s="492"/>
      <c r="S25" s="492"/>
      <c r="T25" s="492"/>
      <c r="U25" s="492"/>
      <c r="V25" s="492"/>
      <c r="W25" s="492"/>
      <c r="X25" s="492"/>
      <c r="Y25" s="492"/>
      <c r="Z25" s="492"/>
      <c r="AA25" s="492"/>
      <c r="AB25" s="492"/>
      <c r="AC25" s="492"/>
      <c r="AD25" s="492"/>
      <c r="AE25" s="492"/>
      <c r="AF25" s="492"/>
      <c r="AG25" s="492"/>
      <c r="AH25" s="492"/>
      <c r="AI25" s="492"/>
      <c r="AJ25" s="492"/>
      <c r="AK25" s="492"/>
      <c r="AL25" s="497"/>
      <c r="AM25" s="498"/>
      <c r="AN25" s="497"/>
      <c r="AO25" s="492"/>
      <c r="AP25" s="492"/>
      <c r="AQ25" s="492"/>
      <c r="AR25" s="492"/>
      <c r="AS25" s="492"/>
      <c r="AT25" s="492"/>
      <c r="AU25" s="492"/>
      <c r="AV25" s="492"/>
      <c r="AW25" s="492"/>
      <c r="AX25" s="492"/>
      <c r="AY25" s="492"/>
      <c r="AZ25" s="492"/>
      <c r="BA25" s="492"/>
      <c r="BB25" s="492"/>
      <c r="BC25" s="492"/>
      <c r="BD25" s="492"/>
      <c r="BE25" s="492"/>
      <c r="BF25" s="492"/>
      <c r="BG25" s="492"/>
    </row>
    <row r="26" spans="1:59" s="150" customFormat="1" ht="102" customHeight="1" thickBot="1">
      <c r="A26" s="144" t="s">
        <v>78</v>
      </c>
      <c r="B26" s="145" t="s">
        <v>79</v>
      </c>
      <c r="C26" s="146" t="s">
        <v>80</v>
      </c>
      <c r="D26" s="145" t="s">
        <v>81</v>
      </c>
      <c r="E26" s="147" t="s">
        <v>82</v>
      </c>
      <c r="F26" s="148" t="s">
        <v>83</v>
      </c>
      <c r="G26" s="146" t="s">
        <v>84</v>
      </c>
      <c r="H26" s="148" t="s">
        <v>79</v>
      </c>
      <c r="I26" s="146" t="s">
        <v>85</v>
      </c>
      <c r="J26" s="145" t="s">
        <v>81</v>
      </c>
      <c r="K26" s="147" t="s">
        <v>82</v>
      </c>
      <c r="L26" s="148" t="s">
        <v>83</v>
      </c>
      <c r="M26" s="146" t="s">
        <v>84</v>
      </c>
      <c r="N26" s="149" t="s">
        <v>86</v>
      </c>
      <c r="O26" s="531" t="s">
        <v>87</v>
      </c>
      <c r="P26" s="510" t="s">
        <v>88</v>
      </c>
      <c r="Q26" s="511" t="s">
        <v>83</v>
      </c>
      <c r="R26" s="512" t="s">
        <v>82</v>
      </c>
      <c r="S26" s="510" t="s">
        <v>89</v>
      </c>
      <c r="T26" s="499"/>
      <c r="U26" s="510" t="s">
        <v>90</v>
      </c>
      <c r="V26" s="510" t="s">
        <v>91</v>
      </c>
      <c r="W26" s="510" t="s">
        <v>92</v>
      </c>
      <c r="X26" s="510" t="s">
        <v>93</v>
      </c>
      <c r="Y26" s="510" t="s">
        <v>94</v>
      </c>
      <c r="Z26" s="510" t="s">
        <v>95</v>
      </c>
      <c r="AA26" s="510" t="s">
        <v>96</v>
      </c>
      <c r="AB26" s="510" t="s">
        <v>97</v>
      </c>
      <c r="AC26" s="510" t="s">
        <v>98</v>
      </c>
      <c r="AD26" s="499" t="s">
        <v>229</v>
      </c>
      <c r="AE26" s="499"/>
      <c r="AF26" s="499"/>
      <c r="AG26" s="499"/>
      <c r="AH26" s="499"/>
      <c r="AI26" s="499"/>
      <c r="AJ26" s="499"/>
      <c r="AK26" s="499"/>
      <c r="AL26" s="500"/>
      <c r="AM26" s="501"/>
      <c r="AN26" s="500"/>
      <c r="AO26" s="499"/>
      <c r="AP26" s="499"/>
      <c r="AQ26" s="499"/>
      <c r="AR26" s="499"/>
      <c r="AS26" s="499"/>
      <c r="AT26" s="499"/>
      <c r="AU26" s="499"/>
      <c r="AV26" s="499"/>
      <c r="AW26" s="499"/>
      <c r="AX26" s="499"/>
      <c r="AY26" s="499"/>
      <c r="AZ26" s="499"/>
      <c r="BA26" s="499"/>
      <c r="BB26" s="499"/>
      <c r="BC26" s="499"/>
      <c r="BD26" s="499"/>
      <c r="BE26" s="499"/>
      <c r="BF26" s="499"/>
      <c r="BG26" s="499"/>
    </row>
    <row r="27" spans="1:59" s="133" customFormat="1" ht="18" customHeight="1">
      <c r="A27" s="445" t="str">
        <f>RESUM!B9</f>
        <v>A41</v>
      </c>
      <c r="B27" s="279">
        <f>RESUM!B11</f>
        <v>540</v>
      </c>
      <c r="C27" s="416">
        <f>RESUM!B15</f>
        <v>57</v>
      </c>
      <c r="D27" s="418">
        <f t="shared" ref="D27:D33" si="0">E27*$B27*PI()/30000</f>
        <v>37.152474721352895</v>
      </c>
      <c r="E27" s="280">
        <f>(F27*120/$F$9-$S27)</f>
        <v>657</v>
      </c>
      <c r="F27" s="281">
        <f>$Q27*$F$21/'driving mode datasheet'!$F$21</f>
        <v>21</v>
      </c>
      <c r="G27" s="154">
        <f t="shared" ref="G27:G33" si="1">IF(AC27&lt;$L$13,AC27,$L$13)</f>
        <v>1866.3289452490696</v>
      </c>
      <c r="H27" s="152">
        <f t="shared" ref="H27:H40" si="2">IF(U27&lt;X27*0.95,U27,X27*0.95)</f>
        <v>803.4367021421117</v>
      </c>
      <c r="I27" s="415">
        <f>MIN(V27:W27)</f>
        <v>81.805348235919141</v>
      </c>
      <c r="J27" s="419">
        <f t="shared" ref="J27:J40" si="3">MIN(Z27,H27*E27*PI()/30000)</f>
        <v>55.277151419522106</v>
      </c>
      <c r="K27" s="155">
        <f>MIN(E27,M27)</f>
        <v>657</v>
      </c>
      <c r="L27" s="156">
        <f t="shared" ref="L27:L40" si="4">(K27+S27*H27/B27)*$F$9/120</f>
        <v>20.560938829763145</v>
      </c>
      <c r="M27" s="282">
        <f>MIN($L$13,MAX(AB27,AA27))</f>
        <v>1142.7566001851503</v>
      </c>
      <c r="N27" s="422">
        <f>RESUM!B32</f>
        <v>20.3</v>
      </c>
      <c r="O27" s="543">
        <f>'driving mode parameters'!B81</f>
        <v>0.88349211452855037</v>
      </c>
      <c r="P27" s="544">
        <f>'driving mode parameters'!B82</f>
        <v>0.83117974359004265</v>
      </c>
      <c r="Q27" s="545">
        <f>'driving mode parameters'!B75</f>
        <v>21</v>
      </c>
      <c r="R27" s="545">
        <f>'driving mode parameters'!B76</f>
        <v>657</v>
      </c>
      <c r="S27" s="545">
        <f>Q27*120/$F$9-R27</f>
        <v>-27</v>
      </c>
      <c r="T27" s="100"/>
      <c r="U27" s="546">
        <f t="shared" ref="U27:U40" si="5">B27/((C27^2-N27^2)^0.5)*(V27^2-N27^2)^0.5</f>
        <v>803.4367021421117</v>
      </c>
      <c r="V27" s="546">
        <f t="shared" ref="V27:V40" si="6">IF(AND($L$24&gt;=20%,$L$24&lt;=80%)=TRUE,((C27^2*0.9-N27^2*(1-$L$24))/$L$24)^0.5,0)</f>
        <v>81.805348235919141</v>
      </c>
      <c r="W27" s="546">
        <f>(((V27^2-N27^2)^0.5*X27/U27)^2+N27^2)^0.5</f>
        <v>202.67101902674602</v>
      </c>
      <c r="X27" s="546">
        <f>X28</f>
        <v>2044.434035729915</v>
      </c>
      <c r="Y27" s="546">
        <f>'driving mode datasheet'!Y27*$M$21/'driving mode datasheet'!$M$21*F27/'driving mode datasheet'!F27*'driving mode datasheet'!F$21/'absorbing mode datasheet'!F$21</f>
        <v>514.05695409623695</v>
      </c>
      <c r="Z27" s="546">
        <f t="shared" ref="Z27:Z40" si="7">X27*Y27*PI()/30000</f>
        <v>110.05580608442892</v>
      </c>
      <c r="AA27" s="546">
        <f>AC27*(D27/J27)^(1/AD27)</f>
        <v>1142.7566001851503</v>
      </c>
      <c r="AB27" s="546">
        <f t="shared" ref="AB27:AB33" si="8">AC27*(B27*E27/AC27/H27)^(1/(1+AD27))</f>
        <v>841.67123480289024</v>
      </c>
      <c r="AC27" s="547">
        <f>0.95*Y27*(Z27/D27)^(1/AD27)</f>
        <v>1866.3289452490696</v>
      </c>
      <c r="AD27" s="548">
        <f>'limit 480V'!Z25</f>
        <v>0.81</v>
      </c>
      <c r="AE27" s="492"/>
      <c r="AF27" s="492"/>
      <c r="AG27" s="492"/>
      <c r="AH27" s="492"/>
      <c r="AI27" s="492"/>
      <c r="AJ27" s="492"/>
      <c r="AK27" s="492"/>
      <c r="AL27" s="497"/>
      <c r="AM27" s="497"/>
      <c r="AN27" s="497"/>
      <c r="AO27" s="498"/>
      <c r="AP27" s="497"/>
      <c r="AQ27" s="492"/>
      <c r="AR27" s="492"/>
      <c r="AS27" s="492"/>
      <c r="AT27" s="492"/>
      <c r="AU27" s="492"/>
      <c r="AV27" s="492"/>
      <c r="AW27" s="492"/>
      <c r="AX27" s="492"/>
      <c r="AY27" s="492"/>
      <c r="AZ27" s="492"/>
      <c r="BA27" s="492"/>
      <c r="BB27" s="492"/>
      <c r="BC27" s="492"/>
      <c r="BD27" s="492"/>
      <c r="BE27" s="492"/>
      <c r="BF27" s="492"/>
      <c r="BG27" s="492"/>
    </row>
    <row r="28" spans="1:59" s="133" customFormat="1" ht="18" customHeight="1">
      <c r="A28" s="445" t="str">
        <f>RESUM!C9</f>
        <v>B41</v>
      </c>
      <c r="B28" s="279">
        <f>RESUM!C11</f>
        <v>540</v>
      </c>
      <c r="C28" s="416">
        <f>RESUM!C15</f>
        <v>75.2</v>
      </c>
      <c r="D28" s="418">
        <f t="shared" si="0"/>
        <v>45.634774886045335</v>
      </c>
      <c r="E28" s="280">
        <f t="shared" ref="E28:E40" si="9">(F28*120/$F$9-$S28)</f>
        <v>807</v>
      </c>
      <c r="F28" s="281">
        <f>$Q28*$F$21/'driving mode datasheet'!$F$21</f>
        <v>26</v>
      </c>
      <c r="G28" s="154">
        <f t="shared" si="1"/>
        <v>2333.4388685234981</v>
      </c>
      <c r="H28" s="152">
        <f t="shared" si="2"/>
        <v>803.53858853280769</v>
      </c>
      <c r="I28" s="415">
        <f t="shared" ref="I28:I40" si="10">MIN(V28:W28)</f>
        <v>107.99305533227589</v>
      </c>
      <c r="J28" s="417">
        <f t="shared" si="3"/>
        <v>67.906115925824608</v>
      </c>
      <c r="K28" s="152">
        <f t="shared" ref="K28:K36" si="11">IF(E28&lt;M28,E28,M28)</f>
        <v>807</v>
      </c>
      <c r="L28" s="153">
        <f t="shared" si="4"/>
        <v>25.560769019111987</v>
      </c>
      <c r="M28" s="154">
        <f t="shared" ref="M28:M40" si="12">MIN($L$13,MAX(AB28,AA28))</f>
        <v>1428.5451982336808</v>
      </c>
      <c r="N28" s="422">
        <f>RESUM!C32</f>
        <v>26.6</v>
      </c>
      <c r="O28" s="543">
        <f>'driving mode parameters'!C81</f>
        <v>0.89961586670265659</v>
      </c>
      <c r="P28" s="544">
        <f>'driving mode parameters'!C82</f>
        <v>0.7879788481558625</v>
      </c>
      <c r="Q28" s="545">
        <f>'driving mode parameters'!C75</f>
        <v>26</v>
      </c>
      <c r="R28" s="545">
        <f>'driving mode parameters'!C76</f>
        <v>807</v>
      </c>
      <c r="S28" s="545">
        <f t="shared" ref="S28:S40" si="13">Q28*120/$F$9-R28</f>
        <v>-27</v>
      </c>
      <c r="T28" s="100"/>
      <c r="U28" s="546">
        <f t="shared" si="5"/>
        <v>803.53858853280769</v>
      </c>
      <c r="V28" s="546">
        <f t="shared" si="6"/>
        <v>107.99305533227589</v>
      </c>
      <c r="W28" s="546">
        <f t="shared" ref="W28:W40" si="14">(((V28^2-N28^2)^0.5*X28/U28)^2+N28^2)^0.5</f>
        <v>267.62532627808298</v>
      </c>
      <c r="X28" s="546">
        <f>X29</f>
        <v>2044.434035729915</v>
      </c>
      <c r="Y28" s="546">
        <f>'driving mode datasheet'!Y28*$M$21/'driving mode datasheet'!$M$21*F28/'driving mode datasheet'!F28*'driving mode datasheet'!F$21/'absorbing mode datasheet'!F$21</f>
        <v>636.45146697629332</v>
      </c>
      <c r="Z28" s="546">
        <f t="shared" si="7"/>
        <v>136.25956943786437</v>
      </c>
      <c r="AA28" s="546">
        <f t="shared" ref="AA28:AA40" si="15">AC28*(D28/J28)^(1/AD28)</f>
        <v>1428.5451982336808</v>
      </c>
      <c r="AB28" s="546">
        <f t="shared" si="8"/>
        <v>1041.9961450162821</v>
      </c>
      <c r="AC28" s="547">
        <f t="shared" ref="AC28:AC40" si="16">0.95*Y28*(Z28/D28)^(1/AD28)</f>
        <v>2333.4388685234981</v>
      </c>
      <c r="AD28" s="548">
        <f>AD27</f>
        <v>0.81</v>
      </c>
      <c r="AE28" s="492"/>
      <c r="AF28" s="492"/>
      <c r="AG28" s="492"/>
      <c r="AH28" s="492"/>
      <c r="AI28" s="492"/>
      <c r="AJ28" s="492"/>
      <c r="AK28" s="492"/>
      <c r="AL28" s="497"/>
      <c r="AM28" s="497"/>
      <c r="AN28" s="497"/>
      <c r="AO28" s="498"/>
      <c r="AP28" s="497"/>
      <c r="AQ28" s="492"/>
      <c r="AR28" s="492"/>
      <c r="AS28" s="492"/>
      <c r="AT28" s="492"/>
      <c r="AU28" s="492"/>
      <c r="AV28" s="492"/>
      <c r="AW28" s="492"/>
      <c r="AX28" s="492"/>
      <c r="AY28" s="492"/>
      <c r="AZ28" s="492"/>
      <c r="BA28" s="492"/>
      <c r="BB28" s="492"/>
      <c r="BC28" s="492"/>
      <c r="BD28" s="492"/>
      <c r="BE28" s="492"/>
      <c r="BF28" s="492"/>
      <c r="BG28" s="492"/>
    </row>
    <row r="29" spans="1:59" s="133" customFormat="1" ht="18" customHeight="1">
      <c r="A29" s="445" t="str">
        <f>RESUM!D9</f>
        <v>C41</v>
      </c>
      <c r="B29" s="279">
        <f>RESUM!D11</f>
        <v>540</v>
      </c>
      <c r="C29" s="416">
        <f>RESUM!D15</f>
        <v>87.1</v>
      </c>
      <c r="D29" s="418">
        <f t="shared" si="0"/>
        <v>52.364066350034669</v>
      </c>
      <c r="E29" s="280">
        <f t="shared" si="9"/>
        <v>926</v>
      </c>
      <c r="F29" s="281">
        <f>$Q29*$F$21/'driving mode datasheet'!$F$21</f>
        <v>30</v>
      </c>
      <c r="G29" s="154">
        <f t="shared" si="1"/>
        <v>2710.9418659647399</v>
      </c>
      <c r="H29" s="152">
        <f t="shared" si="2"/>
        <v>803.34861720592698</v>
      </c>
      <c r="I29" s="415">
        <f t="shared" si="10"/>
        <v>124.93703414120249</v>
      </c>
      <c r="J29" s="417">
        <f t="shared" si="3"/>
        <v>77.901111654777338</v>
      </c>
      <c r="K29" s="152">
        <f t="shared" si="11"/>
        <v>926</v>
      </c>
      <c r="L29" s="153">
        <f t="shared" si="4"/>
        <v>29.577341725471967</v>
      </c>
      <c r="M29" s="154">
        <f t="shared" si="12"/>
        <v>1660.1393247744961</v>
      </c>
      <c r="N29" s="422">
        <f>RESUM!D32</f>
        <v>31.2</v>
      </c>
      <c r="O29" s="543">
        <f>'driving mode parameters'!D81</f>
        <v>0.91226356107910334</v>
      </c>
      <c r="P29" s="544">
        <f>'driving mode parameters'!D82</f>
        <v>0.79161664760078898</v>
      </c>
      <c r="Q29" s="545">
        <f>'driving mode parameters'!D75</f>
        <v>30</v>
      </c>
      <c r="R29" s="545">
        <f>'driving mode parameters'!D76</f>
        <v>926</v>
      </c>
      <c r="S29" s="545">
        <f t="shared" si="13"/>
        <v>-26</v>
      </c>
      <c r="T29" s="100"/>
      <c r="U29" s="546">
        <f t="shared" si="5"/>
        <v>803.34861720592698</v>
      </c>
      <c r="V29" s="546">
        <f t="shared" si="6"/>
        <v>124.93703414120249</v>
      </c>
      <c r="W29" s="546">
        <f t="shared" si="14"/>
        <v>309.45411594758292</v>
      </c>
      <c r="X29" s="546">
        <f>X30</f>
        <v>2044.434035729915</v>
      </c>
      <c r="Y29" s="546">
        <f>'driving mode datasheet'!Y29*$M$21/'driving mode datasheet'!$M$21*F29/'driving mode datasheet'!F29*'driving mode datasheet'!F$21/'absorbing mode datasheet'!F$21</f>
        <v>734.36707728033855</v>
      </c>
      <c r="Z29" s="546">
        <f t="shared" si="7"/>
        <v>157.22258012061278</v>
      </c>
      <c r="AA29" s="546">
        <f t="shared" si="15"/>
        <v>1660.1393247744961</v>
      </c>
      <c r="AB29" s="546">
        <f t="shared" si="8"/>
        <v>1202.4603154171407</v>
      </c>
      <c r="AC29" s="547">
        <f t="shared" si="16"/>
        <v>2710.9418659647399</v>
      </c>
      <c r="AD29" s="548">
        <f t="shared" ref="AD29:AD40" si="17">AD28</f>
        <v>0.81</v>
      </c>
      <c r="AE29" s="492"/>
      <c r="AF29" s="492"/>
      <c r="AG29" s="492"/>
      <c r="AH29" s="492"/>
      <c r="AI29" s="492"/>
      <c r="AJ29" s="492"/>
      <c r="AK29" s="492"/>
      <c r="AL29" s="497"/>
      <c r="AM29" s="497"/>
      <c r="AN29" s="497"/>
      <c r="AO29" s="498"/>
      <c r="AP29" s="497"/>
      <c r="AQ29" s="492"/>
      <c r="AR29" s="492"/>
      <c r="AS29" s="492"/>
      <c r="AT29" s="492"/>
      <c r="AU29" s="492"/>
      <c r="AV29" s="492"/>
      <c r="AW29" s="492"/>
      <c r="AX29" s="492"/>
      <c r="AY29" s="492"/>
      <c r="AZ29" s="492"/>
      <c r="BA29" s="492"/>
      <c r="BB29" s="492"/>
      <c r="BC29" s="492"/>
      <c r="BD29" s="492"/>
      <c r="BE29" s="492"/>
      <c r="BF29" s="492"/>
      <c r="BG29" s="492"/>
    </row>
    <row r="30" spans="1:59" s="133" customFormat="1" ht="18" customHeight="1">
      <c r="A30" s="445" t="str">
        <f>RESUM!E9</f>
        <v>D41</v>
      </c>
      <c r="B30" s="279">
        <f>RESUM!E11</f>
        <v>540</v>
      </c>
      <c r="C30" s="416">
        <f>RESUM!E15</f>
        <v>104.9</v>
      </c>
      <c r="D30" s="418">
        <f t="shared" si="0"/>
        <v>62.599375215430214</v>
      </c>
      <c r="E30" s="280">
        <f t="shared" si="9"/>
        <v>1107</v>
      </c>
      <c r="F30" s="281">
        <f>$Q30*$F$21/'driving mode datasheet'!$F$21</f>
        <v>36</v>
      </c>
      <c r="G30" s="154">
        <f t="shared" si="1"/>
        <v>3268.3746668208432</v>
      </c>
      <c r="H30" s="152">
        <f t="shared" si="2"/>
        <v>803.37960938882998</v>
      </c>
      <c r="I30" s="415">
        <f t="shared" si="10"/>
        <v>150.49799832555914</v>
      </c>
      <c r="J30" s="417">
        <f t="shared" si="3"/>
        <v>93.131595571402087</v>
      </c>
      <c r="K30" s="152">
        <f t="shared" si="11"/>
        <v>1107</v>
      </c>
      <c r="L30" s="153">
        <f t="shared" si="4"/>
        <v>35.561033984351951</v>
      </c>
      <c r="M30" s="154">
        <f t="shared" si="12"/>
        <v>2001.4073203858361</v>
      </c>
      <c r="N30" s="422">
        <f>RESUM!E32</f>
        <v>37.5</v>
      </c>
      <c r="O30" s="543">
        <f>'driving mode parameters'!E81</f>
        <v>0.92454070425848944</v>
      </c>
      <c r="P30" s="544">
        <f>'driving mode parameters'!E82</f>
        <v>0.79634256226349431</v>
      </c>
      <c r="Q30" s="545">
        <f>'driving mode parameters'!E75</f>
        <v>36</v>
      </c>
      <c r="R30" s="545">
        <f>'driving mode parameters'!E76</f>
        <v>1107</v>
      </c>
      <c r="S30" s="545">
        <f t="shared" si="13"/>
        <v>-27</v>
      </c>
      <c r="T30" s="100"/>
      <c r="U30" s="546">
        <f t="shared" si="5"/>
        <v>803.37960938882998</v>
      </c>
      <c r="V30" s="546">
        <f t="shared" si="6"/>
        <v>150.49799832555914</v>
      </c>
      <c r="W30" s="546">
        <f t="shared" si="14"/>
        <v>372.79723874405266</v>
      </c>
      <c r="X30" s="546">
        <f>X31</f>
        <v>2044.434035729915</v>
      </c>
      <c r="Y30" s="546">
        <f>'driving mode datasheet'!Y30*$M$21/'driving mode datasheet'!$M$21*F30/'driving mode datasheet'!F30*'driving mode datasheet'!F$21/'absorbing mode datasheet'!F$21</f>
        <v>881.24049273640617</v>
      </c>
      <c r="Z30" s="546">
        <f t="shared" si="7"/>
        <v>188.6670961447353</v>
      </c>
      <c r="AA30" s="546">
        <f t="shared" si="15"/>
        <v>2001.4073203858361</v>
      </c>
      <c r="AB30" s="546">
        <f t="shared" si="8"/>
        <v>1442.9216240102467</v>
      </c>
      <c r="AC30" s="547">
        <f t="shared" si="16"/>
        <v>3268.3746668208432</v>
      </c>
      <c r="AD30" s="548">
        <f t="shared" si="17"/>
        <v>0.81</v>
      </c>
      <c r="AE30" s="492"/>
      <c r="AF30" s="492"/>
      <c r="AG30" s="492"/>
      <c r="AH30" s="492"/>
      <c r="AI30" s="492"/>
      <c r="AJ30" s="492"/>
      <c r="AK30" s="492"/>
      <c r="AL30" s="497"/>
      <c r="AM30" s="497"/>
      <c r="AN30" s="497"/>
      <c r="AO30" s="498"/>
      <c r="AP30" s="497"/>
      <c r="AQ30" s="492"/>
      <c r="AR30" s="492"/>
      <c r="AS30" s="492"/>
      <c r="AT30" s="492"/>
      <c r="AU30" s="492"/>
      <c r="AV30" s="492"/>
      <c r="AW30" s="492"/>
      <c r="AX30" s="492"/>
      <c r="AY30" s="492"/>
      <c r="AZ30" s="492"/>
      <c r="BA30" s="492"/>
      <c r="BB30" s="492"/>
      <c r="BC30" s="492"/>
      <c r="BD30" s="492"/>
      <c r="BE30" s="492"/>
      <c r="BF30" s="492"/>
      <c r="BG30" s="492"/>
    </row>
    <row r="31" spans="1:59" s="133" customFormat="1" ht="18" customHeight="1">
      <c r="A31" s="445" t="str">
        <f>RESUM!F9</f>
        <v>E41</v>
      </c>
      <c r="B31" s="279">
        <f>RESUM!F11</f>
        <v>540</v>
      </c>
      <c r="C31" s="416">
        <f>RESUM!F15</f>
        <v>116.4</v>
      </c>
      <c r="D31" s="418">
        <f t="shared" si="0"/>
        <v>69.385215347184172</v>
      </c>
      <c r="E31" s="280">
        <f t="shared" si="9"/>
        <v>1227</v>
      </c>
      <c r="F31" s="281">
        <f>$Q31*$F$21/'driving mode datasheet'!$F$21</f>
        <v>40</v>
      </c>
      <c r="G31" s="154">
        <f t="shared" si="1"/>
        <v>3642.4923269169094</v>
      </c>
      <c r="H31" s="152">
        <f t="shared" si="2"/>
        <v>803.60083870581059</v>
      </c>
      <c r="I31" s="415">
        <f t="shared" si="10"/>
        <v>167.2233835323278</v>
      </c>
      <c r="J31" s="417">
        <f t="shared" si="3"/>
        <v>103.25558749403794</v>
      </c>
      <c r="K31" s="152">
        <f t="shared" si="11"/>
        <v>1227</v>
      </c>
      <c r="L31" s="153">
        <f t="shared" si="4"/>
        <v>39.560665268823648</v>
      </c>
      <c r="M31" s="154">
        <f t="shared" si="12"/>
        <v>2229.7422771624811</v>
      </c>
      <c r="N31" s="422">
        <f>RESUM!F32</f>
        <v>41</v>
      </c>
      <c r="O31" s="543">
        <f>'driving mode parameters'!F81</f>
        <v>0.93112007741484371</v>
      </c>
      <c r="P31" s="544">
        <f>'driving mode parameters'!F82</f>
        <v>0.80112269089515908</v>
      </c>
      <c r="Q31" s="545">
        <f>'driving mode parameters'!F75</f>
        <v>40</v>
      </c>
      <c r="R31" s="545">
        <f>'driving mode parameters'!F76</f>
        <v>1227</v>
      </c>
      <c r="S31" s="545">
        <f t="shared" si="13"/>
        <v>-27</v>
      </c>
      <c r="T31" s="100"/>
      <c r="U31" s="546">
        <f t="shared" si="5"/>
        <v>803.60083870581059</v>
      </c>
      <c r="V31" s="546">
        <f t="shared" si="6"/>
        <v>167.2233835323278</v>
      </c>
      <c r="W31" s="546">
        <f t="shared" si="14"/>
        <v>414.47910083932226</v>
      </c>
      <c r="X31" s="546">
        <f>X32</f>
        <v>2044.434035729915</v>
      </c>
      <c r="Y31" s="546">
        <f>'driving mode datasheet'!Y31*$M$21/'driving mode datasheet'!$M$21*F31/'driving mode datasheet'!F31*'driving mode datasheet'!F$21/'absorbing mode datasheet'!F$21</f>
        <v>979.15610304045128</v>
      </c>
      <c r="Z31" s="546">
        <f t="shared" si="7"/>
        <v>209.63010682748367</v>
      </c>
      <c r="AA31" s="546">
        <f t="shared" si="15"/>
        <v>2229.7422771624811</v>
      </c>
      <c r="AB31" s="546">
        <f t="shared" si="8"/>
        <v>1603.0023832062577</v>
      </c>
      <c r="AC31" s="547">
        <f t="shared" si="16"/>
        <v>3642.4923269169094</v>
      </c>
      <c r="AD31" s="548">
        <f t="shared" si="17"/>
        <v>0.81</v>
      </c>
      <c r="AE31" s="492"/>
      <c r="AF31" s="492"/>
      <c r="AG31" s="492"/>
      <c r="AH31" s="492"/>
      <c r="AI31" s="492"/>
      <c r="AJ31" s="492"/>
      <c r="AK31" s="492"/>
      <c r="AL31" s="497"/>
      <c r="AM31" s="497"/>
      <c r="AN31" s="497"/>
      <c r="AO31" s="498"/>
      <c r="AP31" s="497"/>
      <c r="AQ31" s="492"/>
      <c r="AR31" s="492"/>
      <c r="AS31" s="492"/>
      <c r="AT31" s="492"/>
      <c r="AU31" s="492"/>
      <c r="AV31" s="492"/>
      <c r="AW31" s="492"/>
      <c r="AX31" s="492"/>
      <c r="AY31" s="492"/>
      <c r="AZ31" s="492"/>
      <c r="BA31" s="492"/>
      <c r="BB31" s="492"/>
      <c r="BC31" s="492"/>
      <c r="BD31" s="492"/>
      <c r="BE31" s="492"/>
      <c r="BF31" s="492"/>
      <c r="BG31" s="492"/>
    </row>
    <row r="32" spans="1:59" s="133" customFormat="1" ht="18" customHeight="1">
      <c r="A32" s="445" t="str">
        <f>RESUM!G9</f>
        <v>F41</v>
      </c>
      <c r="B32" s="279">
        <f>RESUM!G11</f>
        <v>540</v>
      </c>
      <c r="C32" s="416">
        <f>RESUM!G15</f>
        <v>130.9</v>
      </c>
      <c r="D32" s="418">
        <f t="shared" si="0"/>
        <v>77.867515511876604</v>
      </c>
      <c r="E32" s="280">
        <f t="shared" si="9"/>
        <v>1377</v>
      </c>
      <c r="F32" s="281">
        <f>$Q32*$F$21/'driving mode datasheet'!$F$21</f>
        <v>45</v>
      </c>
      <c r="G32" s="154">
        <f t="shared" si="1"/>
        <v>4110.2069817047723</v>
      </c>
      <c r="H32" s="152">
        <f t="shared" si="2"/>
        <v>803.79207743487518</v>
      </c>
      <c r="I32" s="415">
        <f t="shared" si="10"/>
        <v>188.27625314946121</v>
      </c>
      <c r="J32" s="417">
        <f t="shared" si="3"/>
        <v>115.90609640367346</v>
      </c>
      <c r="K32" s="152">
        <f>IF($E$32&lt;$M$32,$E$32,$M$32)</f>
        <v>1377</v>
      </c>
      <c r="L32" s="153">
        <f t="shared" si="4"/>
        <v>44.560346537608545</v>
      </c>
      <c r="M32" s="154">
        <f t="shared" si="12"/>
        <v>2515.3135785160757</v>
      </c>
      <c r="N32" s="422">
        <f>RESUM!G32</f>
        <v>45.5</v>
      </c>
      <c r="O32" s="543">
        <f>'driving mode parameters'!G81</f>
        <v>0.93726106260530828</v>
      </c>
      <c r="P32" s="544">
        <f>'driving mode parameters'!G82</f>
        <v>0.80474192577744919</v>
      </c>
      <c r="Q32" s="545">
        <f>'driving mode parameters'!G75</f>
        <v>45</v>
      </c>
      <c r="R32" s="545">
        <f>'driving mode parameters'!G76</f>
        <v>1377</v>
      </c>
      <c r="S32" s="545">
        <f t="shared" si="13"/>
        <v>-27</v>
      </c>
      <c r="T32" s="100"/>
      <c r="U32" s="546">
        <f t="shared" si="5"/>
        <v>803.79207743487518</v>
      </c>
      <c r="V32" s="546">
        <f t="shared" si="6"/>
        <v>188.27625314946121</v>
      </c>
      <c r="W32" s="546">
        <f t="shared" si="14"/>
        <v>466.90611474630236</v>
      </c>
      <c r="X32" s="546">
        <f>'limit 480V'!K27*0.95</f>
        <v>2044.434035729915</v>
      </c>
      <c r="Y32" s="546">
        <f>'driving mode datasheet'!Y32*$M$21/'driving mode datasheet'!$M$21*F32/'driving mode datasheet'!F32*'driving mode datasheet'!F$21/'absorbing mode datasheet'!F$21</f>
        <v>1101.5506159205077</v>
      </c>
      <c r="Z32" s="546">
        <f t="shared" si="7"/>
        <v>235.83387018091912</v>
      </c>
      <c r="AA32" s="546">
        <f t="shared" si="15"/>
        <v>2515.3135785160757</v>
      </c>
      <c r="AB32" s="546">
        <f t="shared" si="8"/>
        <v>1803.1406183311622</v>
      </c>
      <c r="AC32" s="547">
        <f>0.95*Y32*(Z32/D32)^(1/AD32)</f>
        <v>4110.2069817047723</v>
      </c>
      <c r="AD32" s="548">
        <f t="shared" si="17"/>
        <v>0.81</v>
      </c>
      <c r="AE32" s="492">
        <f>AB32*(J32/D32)^(1/2/AD32)</f>
        <v>2304.9705201008037</v>
      </c>
      <c r="AF32" s="492"/>
      <c r="AG32" s="492"/>
      <c r="AH32" s="492"/>
      <c r="AI32" s="492"/>
      <c r="AJ32" s="492"/>
      <c r="AK32" s="492"/>
      <c r="AL32" s="497"/>
      <c r="AM32" s="497"/>
      <c r="AN32" s="497"/>
      <c r="AO32" s="498"/>
      <c r="AP32" s="497"/>
      <c r="AQ32" s="492"/>
      <c r="AR32" s="492"/>
      <c r="AS32" s="492"/>
      <c r="AT32" s="492"/>
      <c r="AU32" s="492"/>
      <c r="AV32" s="492"/>
      <c r="AW32" s="492"/>
      <c r="AX32" s="492"/>
      <c r="AY32" s="492"/>
      <c r="AZ32" s="492"/>
      <c r="BA32" s="492"/>
      <c r="BB32" s="492"/>
      <c r="BC32" s="492"/>
      <c r="BD32" s="492"/>
      <c r="BE32" s="492"/>
      <c r="BF32" s="492"/>
      <c r="BG32" s="492"/>
    </row>
    <row r="33" spans="1:62" s="133" customFormat="1" ht="18" customHeight="1">
      <c r="A33" s="445" t="str">
        <f>RESUM!H9</f>
        <v>G41</v>
      </c>
      <c r="B33" s="279">
        <f>RESUM!H11</f>
        <v>540</v>
      </c>
      <c r="C33" s="416">
        <f>RESUM!H15</f>
        <v>149.4</v>
      </c>
      <c r="D33" s="418">
        <f t="shared" si="0"/>
        <v>88.04627570950754</v>
      </c>
      <c r="E33" s="280">
        <f t="shared" si="9"/>
        <v>1557</v>
      </c>
      <c r="F33" s="281">
        <f>$Q33*$F$21/'driving mode datasheet'!$F$21</f>
        <v>51</v>
      </c>
      <c r="G33" s="154">
        <f t="shared" si="1"/>
        <v>4671.5350774879344</v>
      </c>
      <c r="H33" s="152">
        <f t="shared" si="2"/>
        <v>803.29590426711934</v>
      </c>
      <c r="I33" s="415">
        <f t="shared" si="10"/>
        <v>214.2318253668208</v>
      </c>
      <c r="J33" s="417">
        <f t="shared" si="3"/>
        <v>130.97631974707585</v>
      </c>
      <c r="K33" s="152">
        <f t="shared" si="11"/>
        <v>1557</v>
      </c>
      <c r="L33" s="153">
        <f t="shared" si="4"/>
        <v>50.56117349288813</v>
      </c>
      <c r="M33" s="154">
        <f t="shared" si="12"/>
        <v>2861.0083758596897</v>
      </c>
      <c r="N33" s="422">
        <f>RESUM!H32</f>
        <v>53.7</v>
      </c>
      <c r="O33" s="543">
        <f>'driving mode parameters'!H81</f>
        <v>0.94350305917611843</v>
      </c>
      <c r="P33" s="544">
        <f>'driving mode parameters'!H82</f>
        <v>0.80257030497486914</v>
      </c>
      <c r="Q33" s="545">
        <f>'driving mode parameters'!H75</f>
        <v>51</v>
      </c>
      <c r="R33" s="545">
        <f>'driving mode parameters'!H76</f>
        <v>1557</v>
      </c>
      <c r="S33" s="545">
        <f t="shared" si="13"/>
        <v>-27</v>
      </c>
      <c r="T33" s="100"/>
      <c r="U33" s="546">
        <f t="shared" si="5"/>
        <v>803.29590426711934</v>
      </c>
      <c r="V33" s="546">
        <f t="shared" si="6"/>
        <v>214.2318253668208</v>
      </c>
      <c r="W33" s="546">
        <f t="shared" si="14"/>
        <v>530.55002324745556</v>
      </c>
      <c r="X33" s="546">
        <f t="shared" ref="X33:X40" si="18">X32</f>
        <v>2044.434035729915</v>
      </c>
      <c r="Y33" s="546">
        <f>'driving mode datasheet'!Y33*$M$21/'driving mode datasheet'!$M$21*F33/'driving mode datasheet'!F33*'driving mode datasheet'!F$21/'absorbing mode datasheet'!F$21</f>
        <v>1248.4240313765754</v>
      </c>
      <c r="Z33" s="546">
        <f t="shared" si="7"/>
        <v>267.27838620504167</v>
      </c>
      <c r="AA33" s="546">
        <f t="shared" si="15"/>
        <v>2861.0083758596897</v>
      </c>
      <c r="AB33" s="546">
        <f t="shared" si="8"/>
        <v>2044.2566461384251</v>
      </c>
      <c r="AC33" s="547">
        <f t="shared" si="16"/>
        <v>4671.5350774879344</v>
      </c>
      <c r="AD33" s="548">
        <f t="shared" si="17"/>
        <v>0.81</v>
      </c>
      <c r="AE33" s="492"/>
      <c r="AF33" s="492"/>
      <c r="AG33" s="492"/>
      <c r="AH33" s="492"/>
      <c r="AI33" s="492"/>
      <c r="AJ33" s="492"/>
      <c r="AK33" s="492"/>
      <c r="AL33" s="497"/>
      <c r="AM33" s="497"/>
      <c r="AN33" s="497"/>
      <c r="AO33" s="498"/>
      <c r="AP33" s="497"/>
      <c r="AQ33" s="492"/>
      <c r="AR33" s="492"/>
      <c r="AS33" s="492"/>
      <c r="AT33" s="492"/>
      <c r="AU33" s="492"/>
      <c r="AV33" s="492"/>
      <c r="AW33" s="492"/>
      <c r="AX33" s="492"/>
      <c r="AY33" s="492"/>
      <c r="AZ33" s="492"/>
      <c r="BA33" s="492"/>
      <c r="BB33" s="492"/>
      <c r="BC33" s="492"/>
      <c r="BD33" s="492"/>
      <c r="BE33" s="492"/>
      <c r="BF33" s="492"/>
      <c r="BG33" s="492"/>
    </row>
    <row r="34" spans="1:62" s="74" customFormat="1" ht="18" customHeight="1">
      <c r="A34" s="445" t="str">
        <f>RESUM!I9</f>
        <v>H41</v>
      </c>
      <c r="B34" s="279">
        <f>RESUM!I11</f>
        <v>540</v>
      </c>
      <c r="C34" s="416">
        <f>RESUM!I15</f>
        <v>174.3</v>
      </c>
      <c r="D34" s="418">
        <f>E34*$B34*PI()/30000</f>
        <v>101.56140730525082</v>
      </c>
      <c r="E34" s="280">
        <f t="shared" si="9"/>
        <v>1796</v>
      </c>
      <c r="F34" s="281">
        <f>$Q34*$F$21/'driving mode datasheet'!$F$21</f>
        <v>59</v>
      </c>
      <c r="G34" s="154">
        <f>IF(AC34&lt;$L$13,AC34,$L$13)</f>
        <v>5423.7802649122777</v>
      </c>
      <c r="H34" s="152">
        <f t="shared" si="2"/>
        <v>802.80238470976576</v>
      </c>
      <c r="I34" s="415">
        <f t="shared" si="10"/>
        <v>249.19141738832019</v>
      </c>
      <c r="J34" s="417">
        <f t="shared" si="3"/>
        <v>150.98840736876889</v>
      </c>
      <c r="K34" s="152">
        <f t="shared" si="11"/>
        <v>1796</v>
      </c>
      <c r="L34" s="153">
        <f t="shared" si="4"/>
        <v>58.578218394910252</v>
      </c>
      <c r="M34" s="154">
        <f t="shared" si="12"/>
        <v>3324.2303189782924</v>
      </c>
      <c r="N34" s="422">
        <f>RESUM!I32</f>
        <v>64.599999999999994</v>
      </c>
      <c r="O34" s="543">
        <f>'driving mode parameters'!I81</f>
        <v>0.9495611482251598</v>
      </c>
      <c r="P34" s="544">
        <f>'driving mode parameters'!I82</f>
        <v>0.79860797217375545</v>
      </c>
      <c r="Q34" s="545">
        <f>'driving mode parameters'!I75</f>
        <v>59</v>
      </c>
      <c r="R34" s="545">
        <f>'driving mode parameters'!I76</f>
        <v>1796</v>
      </c>
      <c r="S34" s="545">
        <f t="shared" si="13"/>
        <v>-26</v>
      </c>
      <c r="T34" s="100"/>
      <c r="U34" s="546">
        <f t="shared" si="5"/>
        <v>802.80238470976576</v>
      </c>
      <c r="V34" s="546">
        <f t="shared" si="6"/>
        <v>249.19141738832019</v>
      </c>
      <c r="W34" s="546">
        <f t="shared" si="14"/>
        <v>616.29659267925081</v>
      </c>
      <c r="X34" s="546">
        <f t="shared" si="18"/>
        <v>2044.434035729915</v>
      </c>
      <c r="Y34" s="546">
        <f>'driving mode datasheet'!Y34*$M$21/'driving mode datasheet'!$M$21*F34/'driving mode datasheet'!F34*'driving mode datasheet'!F$21/'absorbing mode datasheet'!F$21</f>
        <v>1444.2552519846656</v>
      </c>
      <c r="Z34" s="546">
        <f t="shared" si="7"/>
        <v>309.20440757053842</v>
      </c>
      <c r="AA34" s="546">
        <f t="shared" si="15"/>
        <v>3324.2303189782924</v>
      </c>
      <c r="AB34" s="546">
        <f>AC34*(B34*E34/AC34/H34)^(1/(1+AD34))</f>
        <v>2365.7274646599521</v>
      </c>
      <c r="AC34" s="547">
        <f t="shared" si="16"/>
        <v>5423.7802649122777</v>
      </c>
      <c r="AD34" s="548">
        <f t="shared" si="17"/>
        <v>0.81</v>
      </c>
      <c r="AE34" s="492"/>
      <c r="AF34" s="492"/>
      <c r="AG34" s="492"/>
      <c r="AH34" s="492"/>
      <c r="AI34" s="492"/>
      <c r="AJ34" s="492"/>
      <c r="AK34" s="492"/>
      <c r="AL34" s="497"/>
      <c r="AM34" s="497"/>
      <c r="AN34" s="497"/>
      <c r="AO34" s="498"/>
      <c r="AP34" s="497"/>
      <c r="AQ34" s="492"/>
      <c r="AR34" s="492"/>
      <c r="AS34" s="492"/>
      <c r="AT34" s="492"/>
      <c r="AU34" s="492"/>
      <c r="AV34" s="492"/>
      <c r="AW34" s="492"/>
      <c r="AX34" s="492"/>
      <c r="AY34" s="492"/>
      <c r="AZ34" s="492"/>
      <c r="BA34" s="492"/>
      <c r="BB34" s="492"/>
      <c r="BC34" s="492"/>
      <c r="BD34" s="492"/>
      <c r="BE34" s="492"/>
      <c r="BF34" s="492"/>
      <c r="BG34" s="492"/>
    </row>
    <row r="35" spans="1:62" s="435" customFormat="1" ht="18" customHeight="1">
      <c r="A35" s="445" t="str">
        <f>RESUM!J9</f>
        <v>I41</v>
      </c>
      <c r="B35" s="279">
        <f>RESUM!J11</f>
        <v>540</v>
      </c>
      <c r="C35" s="416">
        <f>RESUM!J15</f>
        <v>208.9</v>
      </c>
      <c r="D35" s="418">
        <f>E35*$B35*PI()/30000</f>
        <v>121.9754763682773</v>
      </c>
      <c r="E35" s="280">
        <f t="shared" si="9"/>
        <v>2157</v>
      </c>
      <c r="F35" s="281">
        <f>$Q35*$F$21/'driving mode datasheet'!$F$21</f>
        <v>71</v>
      </c>
      <c r="G35" s="154">
        <f t="shared" ref="G35:G40" si="19">IF(AC35&lt;$L$13,AC35,$L$13)</f>
        <v>6500</v>
      </c>
      <c r="H35" s="152">
        <f t="shared" si="2"/>
        <v>803.27251351402333</v>
      </c>
      <c r="I35" s="415">
        <f t="shared" si="10"/>
        <v>299.50903575685322</v>
      </c>
      <c r="J35" s="417">
        <f t="shared" si="3"/>
        <v>181.44360646188235</v>
      </c>
      <c r="K35" s="152">
        <f t="shared" si="11"/>
        <v>2157</v>
      </c>
      <c r="L35" s="153">
        <f t="shared" si="4"/>
        <v>70.56121247747663</v>
      </c>
      <c r="M35" s="154">
        <f t="shared" si="12"/>
        <v>4007.2680706675033</v>
      </c>
      <c r="N35" s="422">
        <f>RESUM!J32</f>
        <v>75.2</v>
      </c>
      <c r="O35" s="543">
        <f>'driving mode parameters'!J81</f>
        <v>0.9556271635602267</v>
      </c>
      <c r="P35" s="544">
        <f>'driving mode parameters'!J82</f>
        <v>0.80538205783690042</v>
      </c>
      <c r="Q35" s="545">
        <f>'driving mode parameters'!J75</f>
        <v>71</v>
      </c>
      <c r="R35" s="545">
        <f>'driving mode parameters'!J76</f>
        <v>2157</v>
      </c>
      <c r="S35" s="545">
        <f t="shared" si="13"/>
        <v>-27</v>
      </c>
      <c r="T35" s="100"/>
      <c r="U35" s="546">
        <f t="shared" si="5"/>
        <v>803.27251351402333</v>
      </c>
      <c r="V35" s="546">
        <f t="shared" si="6"/>
        <v>299.50903575685322</v>
      </c>
      <c r="W35" s="546">
        <f t="shared" si="14"/>
        <v>741.69347260824225</v>
      </c>
      <c r="X35" s="546">
        <f t="shared" si="18"/>
        <v>2044.434035729915</v>
      </c>
      <c r="Y35" s="546">
        <f>'driving mode datasheet'!Y35*$M$21/'driving mode datasheet'!$M$21*F35/'driving mode datasheet'!F35*'driving mode datasheet'!F$21/'absorbing mode datasheet'!F$21</f>
        <v>1738.0020828968013</v>
      </c>
      <c r="Z35" s="546">
        <f t="shared" si="7"/>
        <v>372.09343961878358</v>
      </c>
      <c r="AA35" s="546">
        <f t="shared" si="15"/>
        <v>4007.2680706675033</v>
      </c>
      <c r="AB35" s="546">
        <f>AC35*(B35*E35/AC35/H35)^(1/(1+AD35))</f>
        <v>2845.9717041619465</v>
      </c>
      <c r="AC35" s="547">
        <f t="shared" si="16"/>
        <v>6542.9449817625391</v>
      </c>
      <c r="AD35" s="548">
        <f t="shared" si="17"/>
        <v>0.81</v>
      </c>
      <c r="AE35" s="492"/>
      <c r="AF35" s="492"/>
      <c r="AG35" s="492"/>
      <c r="AH35" s="492"/>
      <c r="AI35" s="492"/>
      <c r="AJ35" s="492"/>
      <c r="AK35" s="492"/>
      <c r="AL35" s="497"/>
      <c r="AM35" s="497"/>
      <c r="AN35" s="497"/>
      <c r="AO35" s="498"/>
      <c r="AP35" s="497"/>
      <c r="AQ35" s="492"/>
      <c r="AR35" s="492"/>
      <c r="AS35" s="492"/>
      <c r="AT35" s="492"/>
      <c r="AU35" s="492"/>
      <c r="AV35" s="492"/>
      <c r="AW35" s="492"/>
      <c r="AX35" s="492"/>
      <c r="AY35" s="492"/>
      <c r="AZ35" s="492"/>
      <c r="BA35" s="492"/>
      <c r="BB35" s="492"/>
      <c r="BC35" s="492"/>
      <c r="BD35" s="492"/>
      <c r="BE35" s="492"/>
      <c r="BF35" s="492"/>
      <c r="BG35" s="492"/>
    </row>
    <row r="36" spans="1:62" s="435" customFormat="1" ht="18" customHeight="1">
      <c r="A36" s="445" t="str">
        <f>RESUM!K9</f>
        <v>F42</v>
      </c>
      <c r="B36" s="279">
        <f>RESUM!K11</f>
        <v>520</v>
      </c>
      <c r="C36" s="416">
        <f>RESUM!K15</f>
        <v>219.3</v>
      </c>
      <c r="D36" s="418">
        <f>E36*$B36*PI()/30000</f>
        <v>127.20518093895312</v>
      </c>
      <c r="E36" s="280">
        <f t="shared" si="9"/>
        <v>2336</v>
      </c>
      <c r="F36" s="281">
        <f>$Q36*$F$21/'driving mode datasheet'!$F$21</f>
        <v>77</v>
      </c>
      <c r="G36" s="154">
        <f t="shared" si="19"/>
        <v>6500</v>
      </c>
      <c r="H36" s="152">
        <f t="shared" si="2"/>
        <v>773.24180476340916</v>
      </c>
      <c r="I36" s="415">
        <f t="shared" si="10"/>
        <v>313.86599449446578</v>
      </c>
      <c r="J36" s="417">
        <f t="shared" si="3"/>
        <v>189.15454554710024</v>
      </c>
      <c r="K36" s="152">
        <f t="shared" si="11"/>
        <v>2336</v>
      </c>
      <c r="L36" s="153">
        <f t="shared" si="4"/>
        <v>76.57793032539432</v>
      </c>
      <c r="M36" s="154">
        <f t="shared" si="12"/>
        <v>4759.6534021018733</v>
      </c>
      <c r="N36" s="422">
        <f>RESUM!K32</f>
        <v>80.400000000000006</v>
      </c>
      <c r="O36" s="543">
        <f>'driving mode parameters'!K81</f>
        <v>0.95830956782695731</v>
      </c>
      <c r="P36" s="544">
        <f>'driving mode parameters'!K82</f>
        <v>0.80232693811754197</v>
      </c>
      <c r="Q36" s="545">
        <f>'driving mode parameters'!K75</f>
        <v>77</v>
      </c>
      <c r="R36" s="545">
        <f>'driving mode parameters'!K76</f>
        <v>2336</v>
      </c>
      <c r="S36" s="545">
        <f t="shared" si="13"/>
        <v>-26</v>
      </c>
      <c r="T36" s="100"/>
      <c r="U36" s="546">
        <f t="shared" si="5"/>
        <v>773.24180476340916</v>
      </c>
      <c r="V36" s="546">
        <f t="shared" si="6"/>
        <v>313.86599449446578</v>
      </c>
      <c r="W36" s="546">
        <f t="shared" si="14"/>
        <v>806.18512757582744</v>
      </c>
      <c r="X36" s="546">
        <f t="shared" si="18"/>
        <v>2044.434035729915</v>
      </c>
      <c r="Y36" s="546">
        <f>'driving mode datasheet'!Y36*$M$21/'driving mode datasheet'!$M$21*F36/'driving mode datasheet'!F36*'driving mode datasheet'!F$21/'absorbing mode datasheet'!F$21</f>
        <v>1920.781115106123</v>
      </c>
      <c r="Z36" s="546">
        <f t="shared" si="7"/>
        <v>411.22508362211084</v>
      </c>
      <c r="AA36" s="546">
        <f t="shared" si="15"/>
        <v>4759.6534021018733</v>
      </c>
      <c r="AB36" s="546">
        <f>AC36*(B36*E36/AC36/H36)^(1/(1+AD36))</f>
        <v>3212.1844260690118</v>
      </c>
      <c r="AC36" s="547">
        <f t="shared" si="16"/>
        <v>7767.945515217808</v>
      </c>
      <c r="AD36" s="548">
        <f t="shared" si="17"/>
        <v>0.81</v>
      </c>
      <c r="AE36" s="492"/>
      <c r="AF36" s="492"/>
      <c r="AG36" s="492"/>
      <c r="AH36" s="492"/>
      <c r="AI36" s="492"/>
      <c r="AJ36" s="492"/>
      <c r="AK36" s="492"/>
      <c r="AL36" s="497"/>
      <c r="AM36" s="497"/>
      <c r="AN36" s="497"/>
      <c r="AO36" s="498"/>
      <c r="AP36" s="497"/>
      <c r="AQ36" s="492"/>
      <c r="AR36" s="492"/>
      <c r="AS36" s="492"/>
      <c r="AT36" s="492"/>
      <c r="AU36" s="492"/>
      <c r="AV36" s="492"/>
      <c r="AW36" s="492"/>
      <c r="AX36" s="492"/>
      <c r="AY36" s="492"/>
      <c r="AZ36" s="492"/>
      <c r="BA36" s="492"/>
      <c r="BB36" s="492"/>
      <c r="BC36" s="492"/>
      <c r="BD36" s="492"/>
      <c r="BE36" s="492"/>
      <c r="BF36" s="492"/>
      <c r="BG36" s="492"/>
    </row>
    <row r="37" spans="1:62" s="435" customFormat="1" ht="18" customHeight="1">
      <c r="A37" s="445" t="str">
        <f>RESUM!L9</f>
        <v>G42</v>
      </c>
      <c r="B37" s="279">
        <f>RESUM!L11</f>
        <v>500</v>
      </c>
      <c r="C37" s="416">
        <f>RESUM!L15</f>
        <v>242.9</v>
      </c>
      <c r="D37" s="418">
        <f>E37*$B37*PI()/30000</f>
        <v>139.53907369694664</v>
      </c>
      <c r="E37" s="280">
        <f t="shared" si="9"/>
        <v>2665</v>
      </c>
      <c r="F37" s="281">
        <f>$Q37*$F$21/'driving mode datasheet'!$F$21</f>
        <v>88</v>
      </c>
      <c r="G37" s="154">
        <f t="shared" si="19"/>
        <v>6500</v>
      </c>
      <c r="H37" s="152">
        <f t="shared" si="2"/>
        <v>743.07774426780077</v>
      </c>
      <c r="I37" s="415">
        <f t="shared" si="10"/>
        <v>346.68796849616808</v>
      </c>
      <c r="J37" s="417">
        <f t="shared" si="3"/>
        <v>207.37676023989107</v>
      </c>
      <c r="K37" s="152">
        <f>IF(E37&lt;M37,E37,M37)</f>
        <v>2665</v>
      </c>
      <c r="L37" s="153">
        <f t="shared" si="4"/>
        <v>87.594870426220325</v>
      </c>
      <c r="M37" s="154">
        <f t="shared" si="12"/>
        <v>5982.4713638407766</v>
      </c>
      <c r="N37" s="422">
        <f>RESUM!L32</f>
        <v>91.5</v>
      </c>
      <c r="O37" s="543">
        <f>'driving mode parameters'!L81</f>
        <v>0.96182483736929636</v>
      </c>
      <c r="P37" s="544">
        <f>'driving mode parameters'!L82</f>
        <v>0.79752386909383444</v>
      </c>
      <c r="Q37" s="545">
        <f>'driving mode parameters'!L75</f>
        <v>88</v>
      </c>
      <c r="R37" s="545">
        <f>'driving mode parameters'!L76</f>
        <v>2665</v>
      </c>
      <c r="S37" s="545">
        <f t="shared" si="13"/>
        <v>-25</v>
      </c>
      <c r="T37" s="100"/>
      <c r="U37" s="546">
        <f t="shared" si="5"/>
        <v>743.07774426780077</v>
      </c>
      <c r="V37" s="546">
        <f t="shared" si="6"/>
        <v>346.68796849616808</v>
      </c>
      <c r="W37" s="546">
        <f t="shared" si="14"/>
        <v>924.56284975514939</v>
      </c>
      <c r="X37" s="546">
        <f t="shared" si="18"/>
        <v>2044.434035729915</v>
      </c>
      <c r="Y37" s="546">
        <f>'driving mode datasheet'!Y37*$M$21/'driving mode datasheet'!$M$21*F37/'driving mode datasheet'!F37*'driving mode datasheet'!F$21/'absorbing mode datasheet'!F$21</f>
        <v>2238.651517089515</v>
      </c>
      <c r="Z37" s="546">
        <f t="shared" si="7"/>
        <v>479.27879448410687</v>
      </c>
      <c r="AA37" s="546">
        <f t="shared" si="15"/>
        <v>5982.4713638407766</v>
      </c>
      <c r="AB37" s="546">
        <f>AC37*(B37*E37/AC37/H37)^(1/(1+AD37))</f>
        <v>3826.9839621634451</v>
      </c>
      <c r="AC37" s="547">
        <f t="shared" si="16"/>
        <v>9756.7601329057543</v>
      </c>
      <c r="AD37" s="548">
        <f t="shared" si="17"/>
        <v>0.81</v>
      </c>
      <c r="AE37" s="492"/>
      <c r="AF37" s="492"/>
      <c r="AG37" s="492"/>
      <c r="AH37" s="492"/>
      <c r="AI37" s="492"/>
      <c r="AJ37" s="492"/>
      <c r="AK37" s="492"/>
      <c r="AL37" s="497"/>
      <c r="AM37" s="497"/>
      <c r="AN37" s="497"/>
      <c r="AO37" s="498"/>
      <c r="AP37" s="497"/>
      <c r="AQ37" s="492"/>
      <c r="AR37" s="492"/>
      <c r="AS37" s="492"/>
      <c r="AT37" s="492"/>
      <c r="AU37" s="492"/>
      <c r="AV37" s="492"/>
      <c r="AW37" s="492"/>
      <c r="AX37" s="492"/>
      <c r="AY37" s="492"/>
      <c r="AZ37" s="492"/>
      <c r="BA37" s="492"/>
      <c r="BB37" s="492"/>
      <c r="BC37" s="492"/>
      <c r="BD37" s="492"/>
      <c r="BE37" s="492"/>
      <c r="BF37" s="492"/>
      <c r="BG37" s="492"/>
    </row>
    <row r="38" spans="1:62" s="435" customFormat="1" ht="18" customHeight="1">
      <c r="A38" s="445" t="str">
        <f>RESUM!M9</f>
        <v>H42</v>
      </c>
      <c r="B38" s="279">
        <f>RESUM!M11</f>
        <v>480</v>
      </c>
      <c r="C38" s="416">
        <f>RESUM!M15</f>
        <v>274.60000000000002</v>
      </c>
      <c r="D38" s="418">
        <f>E38*$B38*PI()/30000</f>
        <v>155.01874789873477</v>
      </c>
      <c r="E38" s="280">
        <f t="shared" si="9"/>
        <v>3084</v>
      </c>
      <c r="F38" s="281">
        <f>$Q38*$F$21/'driving mode datasheet'!$F$21</f>
        <v>102</v>
      </c>
      <c r="G38" s="154">
        <f t="shared" si="19"/>
        <v>6500</v>
      </c>
      <c r="H38" s="152">
        <f t="shared" si="2"/>
        <v>712.31346394614638</v>
      </c>
      <c r="I38" s="415">
        <f t="shared" si="10"/>
        <v>389.24492289559799</v>
      </c>
      <c r="J38" s="417">
        <f t="shared" si="3"/>
        <v>230.04571102571282</v>
      </c>
      <c r="K38" s="152">
        <f>IF(E38&lt;M38,E38,M38)</f>
        <v>3084</v>
      </c>
      <c r="L38" s="153">
        <f t="shared" si="4"/>
        <v>101.61281089342309</v>
      </c>
      <c r="M38" s="154">
        <f t="shared" si="12"/>
        <v>6500</v>
      </c>
      <c r="N38" s="422">
        <f>RESUM!M32</f>
        <v>110</v>
      </c>
      <c r="O38" s="543">
        <f>'driving mode parameters'!M81</f>
        <v>0.9647003275856566</v>
      </c>
      <c r="P38" s="544">
        <f>'driving mode parameters'!M82</f>
        <v>0.78605964183331911</v>
      </c>
      <c r="Q38" s="545">
        <f>'driving mode parameters'!M75</f>
        <v>102</v>
      </c>
      <c r="R38" s="545">
        <f>'driving mode parameters'!M76</f>
        <v>3084</v>
      </c>
      <c r="S38" s="545">
        <f t="shared" si="13"/>
        <v>-24</v>
      </c>
      <c r="T38" s="100"/>
      <c r="U38" s="546">
        <f t="shared" si="5"/>
        <v>712.31346394614638</v>
      </c>
      <c r="V38" s="546">
        <f t="shared" si="6"/>
        <v>389.24492289559799</v>
      </c>
      <c r="W38" s="546">
        <f t="shared" si="14"/>
        <v>1077.2769080377625</v>
      </c>
      <c r="X38" s="546">
        <f t="shared" si="18"/>
        <v>2044.434035729915</v>
      </c>
      <c r="Y38" s="546">
        <f>'driving mode datasheet'!Y38*$M$21/'driving mode datasheet'!$M$21*F38/'driving mode datasheet'!F38*'driving mode datasheet'!F$21/'absorbing mode datasheet'!F$21</f>
        <v>2648.3072951478707</v>
      </c>
      <c r="Z38" s="546">
        <f t="shared" si="7"/>
        <v>566.98307805054583</v>
      </c>
      <c r="AA38" s="546">
        <f t="shared" si="15"/>
        <v>7661.9852449767086</v>
      </c>
      <c r="AB38" s="546">
        <f>AC38*(B38*E38/AC38/H38)^(1/(1+AD38))</f>
        <v>4634.29723136552</v>
      </c>
      <c r="AC38" s="547">
        <f t="shared" si="16"/>
        <v>12473.352128756533</v>
      </c>
      <c r="AD38" s="548">
        <f t="shared" si="17"/>
        <v>0.81</v>
      </c>
      <c r="AE38" s="492"/>
      <c r="AF38" s="492"/>
      <c r="AG38" s="492"/>
      <c r="AH38" s="492"/>
      <c r="AI38" s="492"/>
      <c r="AJ38" s="492"/>
      <c r="AK38" s="492"/>
      <c r="AL38" s="497"/>
      <c r="AM38" s="497"/>
      <c r="AN38" s="497"/>
      <c r="AO38" s="498"/>
      <c r="AP38" s="497"/>
      <c r="AQ38" s="492"/>
      <c r="AR38" s="492"/>
      <c r="AS38" s="492"/>
      <c r="AT38" s="492"/>
      <c r="AU38" s="492"/>
      <c r="AV38" s="492"/>
      <c r="AW38" s="492"/>
      <c r="AX38" s="492"/>
      <c r="AY38" s="492"/>
      <c r="AZ38" s="492"/>
      <c r="BA38" s="492"/>
      <c r="BB38" s="492"/>
      <c r="BC38" s="492"/>
      <c r="BD38" s="492"/>
      <c r="BE38" s="492"/>
      <c r="BF38" s="492"/>
      <c r="BG38" s="492"/>
    </row>
    <row r="39" spans="1:62" s="435" customFormat="1" ht="18" customHeight="1">
      <c r="A39" s="471">
        <f>RESUM!N9</f>
        <v>0</v>
      </c>
      <c r="B39" s="472">
        <f>RESUM!N11</f>
        <v>0</v>
      </c>
      <c r="C39" s="473">
        <f>RESUM!N15</f>
        <v>0</v>
      </c>
      <c r="D39" s="474">
        <f t="shared" ref="D39:D40" si="20">E39*$B39*PI()/30000</f>
        <v>0</v>
      </c>
      <c r="E39" s="475">
        <f t="shared" si="9"/>
        <v>0</v>
      </c>
      <c r="F39" s="476">
        <f>$Q39*$F$21/'driving mode datasheet'!$F$21</f>
        <v>0</v>
      </c>
      <c r="G39" s="461" t="e">
        <f t="shared" si="19"/>
        <v>#DIV/0!</v>
      </c>
      <c r="H39" s="459" t="e">
        <f t="shared" si="2"/>
        <v>#DIV/0!</v>
      </c>
      <c r="I39" s="457" t="e">
        <f t="shared" si="10"/>
        <v>#DIV/0!</v>
      </c>
      <c r="J39" s="458" t="e">
        <f t="shared" si="3"/>
        <v>#DIV/0!</v>
      </c>
      <c r="K39" s="459" t="e">
        <f t="shared" ref="K39:K40" si="21">IF(E39&lt;M39,E39,M39)</f>
        <v>#DIV/0!</v>
      </c>
      <c r="L39" s="460" t="e">
        <f t="shared" si="4"/>
        <v>#DIV/0!</v>
      </c>
      <c r="M39" s="461" t="e">
        <f t="shared" si="12"/>
        <v>#DIV/0!</v>
      </c>
      <c r="N39" s="477">
        <f>RESUM!N32</f>
        <v>0</v>
      </c>
      <c r="O39" s="543">
        <f>'driving mode parameters'!N81</f>
        <v>0</v>
      </c>
      <c r="P39" s="544">
        <f>'driving mode parameters'!N82</f>
        <v>0</v>
      </c>
      <c r="Q39" s="545">
        <f>'driving mode parameters'!N75</f>
        <v>0</v>
      </c>
      <c r="R39" s="545">
        <f>'driving mode parameters'!N76</f>
        <v>0</v>
      </c>
      <c r="S39" s="545">
        <f t="shared" si="13"/>
        <v>0</v>
      </c>
      <c r="T39" s="100"/>
      <c r="U39" s="546" t="e">
        <f t="shared" si="5"/>
        <v>#DIV/0!</v>
      </c>
      <c r="V39" s="546">
        <f t="shared" si="6"/>
        <v>0</v>
      </c>
      <c r="W39" s="546" t="e">
        <f t="shared" si="14"/>
        <v>#DIV/0!</v>
      </c>
      <c r="X39" s="546">
        <f t="shared" si="18"/>
        <v>2044.434035729915</v>
      </c>
      <c r="Y39" s="546" t="e">
        <f>'driving mode datasheet'!Y39*$M$21/'driving mode datasheet'!$M$21*F39/'driving mode datasheet'!F39*'driving mode datasheet'!F$21/'absorbing mode datasheet'!F$21</f>
        <v>#DIV/0!</v>
      </c>
      <c r="Z39" s="546" t="e">
        <f t="shared" si="7"/>
        <v>#DIV/0!</v>
      </c>
      <c r="AA39" s="546" t="e">
        <f t="shared" si="15"/>
        <v>#DIV/0!</v>
      </c>
      <c r="AB39" s="546" t="e">
        <f t="shared" ref="AB39:AB40" si="22">AC39*(B39*E39/AC39/H39)^(1/(1+AD39))</f>
        <v>#DIV/0!</v>
      </c>
      <c r="AC39" s="547" t="e">
        <f t="shared" si="16"/>
        <v>#DIV/0!</v>
      </c>
      <c r="AD39" s="548">
        <f t="shared" si="17"/>
        <v>0.81</v>
      </c>
      <c r="AE39" s="492"/>
      <c r="AF39" s="492"/>
      <c r="AG39" s="492"/>
      <c r="AH39" s="492"/>
      <c r="AI39" s="492"/>
      <c r="AJ39" s="492"/>
      <c r="AK39" s="492"/>
      <c r="AL39" s="497"/>
      <c r="AM39" s="497"/>
      <c r="AN39" s="497"/>
      <c r="AO39" s="498"/>
      <c r="AP39" s="497"/>
      <c r="AQ39" s="492"/>
      <c r="AR39" s="492"/>
      <c r="AS39" s="492"/>
      <c r="AT39" s="492"/>
      <c r="AU39" s="492"/>
      <c r="AV39" s="492"/>
      <c r="AW39" s="492"/>
      <c r="AX39" s="492"/>
      <c r="AY39" s="492"/>
      <c r="AZ39" s="492"/>
      <c r="BA39" s="492"/>
      <c r="BB39" s="492"/>
      <c r="BC39" s="492"/>
      <c r="BD39" s="492"/>
      <c r="BE39" s="492"/>
      <c r="BF39" s="492"/>
      <c r="BG39" s="492"/>
    </row>
    <row r="40" spans="1:62" s="436" customFormat="1" ht="18" customHeight="1" thickBot="1">
      <c r="A40" s="478">
        <f>RESUM!O9</f>
        <v>0</v>
      </c>
      <c r="B40" s="479">
        <f>RESUM!O11</f>
        <v>0</v>
      </c>
      <c r="C40" s="480">
        <f>RESUM!O15</f>
        <v>0</v>
      </c>
      <c r="D40" s="481">
        <f t="shared" si="20"/>
        <v>0</v>
      </c>
      <c r="E40" s="482">
        <f t="shared" si="9"/>
        <v>0</v>
      </c>
      <c r="F40" s="483">
        <f>$Q40*$F$21/'driving mode datasheet'!$F$21</f>
        <v>0</v>
      </c>
      <c r="G40" s="469" t="e">
        <f t="shared" si="19"/>
        <v>#DIV/0!</v>
      </c>
      <c r="H40" s="467" t="e">
        <f t="shared" si="2"/>
        <v>#DIV/0!</v>
      </c>
      <c r="I40" s="465" t="e">
        <f t="shared" si="10"/>
        <v>#DIV/0!</v>
      </c>
      <c r="J40" s="466" t="e">
        <f t="shared" si="3"/>
        <v>#DIV/0!</v>
      </c>
      <c r="K40" s="467" t="e">
        <f t="shared" si="21"/>
        <v>#DIV/0!</v>
      </c>
      <c r="L40" s="468" t="e">
        <f t="shared" si="4"/>
        <v>#DIV/0!</v>
      </c>
      <c r="M40" s="469" t="e">
        <f t="shared" si="12"/>
        <v>#DIV/0!</v>
      </c>
      <c r="N40" s="484">
        <f>RESUM!O32</f>
        <v>0</v>
      </c>
      <c r="O40" s="543">
        <f>'driving mode parameters'!O81</f>
        <v>0</v>
      </c>
      <c r="P40" s="544">
        <f>'driving mode parameters'!O82</f>
        <v>0</v>
      </c>
      <c r="Q40" s="545">
        <f>'driving mode parameters'!O75</f>
        <v>0</v>
      </c>
      <c r="R40" s="545">
        <f>'driving mode parameters'!O76</f>
        <v>0</v>
      </c>
      <c r="S40" s="545">
        <f t="shared" si="13"/>
        <v>0</v>
      </c>
      <c r="T40" s="100"/>
      <c r="U40" s="546" t="e">
        <f t="shared" si="5"/>
        <v>#DIV/0!</v>
      </c>
      <c r="V40" s="546">
        <f t="shared" si="6"/>
        <v>0</v>
      </c>
      <c r="W40" s="546" t="e">
        <f t="shared" si="14"/>
        <v>#DIV/0!</v>
      </c>
      <c r="X40" s="546">
        <f t="shared" si="18"/>
        <v>2044.434035729915</v>
      </c>
      <c r="Y40" s="546" t="e">
        <f>'driving mode datasheet'!Y40*$M$21/'driving mode datasheet'!$M$21*F40/'driving mode datasheet'!F40*'driving mode datasheet'!F$21/'absorbing mode datasheet'!F$21</f>
        <v>#DIV/0!</v>
      </c>
      <c r="Z40" s="546" t="e">
        <f t="shared" si="7"/>
        <v>#DIV/0!</v>
      </c>
      <c r="AA40" s="546" t="e">
        <f t="shared" si="15"/>
        <v>#DIV/0!</v>
      </c>
      <c r="AB40" s="546" t="e">
        <f t="shared" si="22"/>
        <v>#DIV/0!</v>
      </c>
      <c r="AC40" s="547" t="e">
        <f t="shared" si="16"/>
        <v>#DIV/0!</v>
      </c>
      <c r="AD40" s="548">
        <f t="shared" si="17"/>
        <v>0.81</v>
      </c>
      <c r="AE40" s="492"/>
      <c r="AF40" s="492"/>
      <c r="AG40" s="492"/>
      <c r="AH40" s="492"/>
      <c r="AI40" s="492"/>
      <c r="AJ40" s="492"/>
      <c r="AK40" s="492"/>
      <c r="AL40" s="497"/>
      <c r="AM40" s="497"/>
      <c r="AN40" s="497"/>
      <c r="AO40" s="498"/>
      <c r="AP40" s="497"/>
      <c r="AQ40" s="492"/>
      <c r="AR40" s="492"/>
      <c r="AS40" s="492"/>
      <c r="AT40" s="492"/>
      <c r="AU40" s="492"/>
      <c r="AV40" s="492"/>
      <c r="AW40" s="492"/>
      <c r="AX40" s="492"/>
      <c r="AY40" s="492"/>
      <c r="AZ40" s="492"/>
      <c r="BA40" s="492"/>
      <c r="BB40" s="492"/>
      <c r="BC40" s="492"/>
      <c r="BD40" s="492"/>
      <c r="BE40" s="492"/>
      <c r="BF40" s="492"/>
      <c r="BG40" s="492"/>
      <c r="BH40" s="435"/>
      <c r="BI40" s="435"/>
      <c r="BJ40" s="435"/>
    </row>
    <row r="41" spans="1:62" s="91" customFormat="1" ht="19.5" customHeight="1" thickBot="1">
      <c r="A41" s="431" t="s">
        <v>99</v>
      </c>
      <c r="B41" s="432"/>
      <c r="C41" s="432"/>
      <c r="D41" s="432"/>
      <c r="E41" s="432"/>
      <c r="F41" s="432"/>
      <c r="G41" s="433"/>
      <c r="H41" s="431" t="s">
        <v>100</v>
      </c>
      <c r="I41" s="432"/>
      <c r="J41" s="432"/>
      <c r="K41" s="432"/>
      <c r="L41" s="432"/>
      <c r="M41" s="432"/>
      <c r="N41" s="433"/>
      <c r="O41" s="494"/>
      <c r="P41" s="492"/>
      <c r="Q41" s="492"/>
      <c r="R41" s="492"/>
      <c r="S41" s="494"/>
      <c r="T41" s="494"/>
      <c r="U41" s="494"/>
      <c r="V41" s="494"/>
      <c r="W41" s="494"/>
      <c r="X41" s="494"/>
      <c r="Y41" s="494"/>
      <c r="Z41" s="494"/>
      <c r="AA41" s="494"/>
      <c r="AB41" s="494"/>
      <c r="AC41" s="494"/>
      <c r="AD41" s="503"/>
      <c r="AE41" s="503"/>
      <c r="AF41" s="503"/>
      <c r="AG41" s="503"/>
      <c r="AH41" s="503"/>
      <c r="AI41" s="503"/>
      <c r="AJ41" s="503"/>
      <c r="AK41" s="503"/>
      <c r="AL41" s="503"/>
      <c r="AM41" s="503"/>
      <c r="AN41" s="503"/>
      <c r="AO41" s="503"/>
      <c r="AP41" s="503"/>
      <c r="AQ41" s="503"/>
      <c r="AR41" s="503"/>
      <c r="AS41" s="503"/>
      <c r="AT41" s="503"/>
      <c r="AU41" s="503"/>
      <c r="AV41" s="503"/>
      <c r="AW41" s="503"/>
      <c r="AX41" s="503"/>
      <c r="AY41" s="503"/>
      <c r="AZ41" s="503"/>
      <c r="BA41" s="503"/>
      <c r="BB41" s="503"/>
      <c r="BC41" s="503"/>
      <c r="BD41" s="503"/>
      <c r="BE41" s="503"/>
      <c r="BF41" s="503"/>
      <c r="BG41" s="503"/>
      <c r="BH41" s="157"/>
    </row>
    <row r="42" spans="1:62" ht="15" customHeight="1">
      <c r="C42" s="76"/>
      <c r="E42" s="89"/>
      <c r="F42" s="76"/>
      <c r="G42" s="89"/>
      <c r="I42" s="76"/>
      <c r="J42" s="89"/>
      <c r="K42" s="158"/>
      <c r="L42" s="76"/>
      <c r="M42" s="89"/>
      <c r="O42" s="492"/>
      <c r="P42" s="492"/>
      <c r="Q42" s="492"/>
      <c r="R42" s="492"/>
      <c r="S42" s="492"/>
      <c r="T42" s="492"/>
      <c r="U42" s="492"/>
      <c r="V42" s="492"/>
      <c r="W42" s="492"/>
      <c r="X42" s="492"/>
      <c r="Y42" s="492"/>
      <c r="Z42" s="492"/>
      <c r="AA42" s="492"/>
      <c r="AB42" s="492"/>
      <c r="AC42" s="492"/>
      <c r="AD42" s="493"/>
      <c r="AE42" s="493"/>
      <c r="AF42" s="493"/>
      <c r="AG42" s="493"/>
      <c r="AH42" s="493"/>
      <c r="AI42" s="493"/>
      <c r="AJ42" s="493"/>
      <c r="AK42" s="493"/>
      <c r="AL42" s="493"/>
      <c r="AM42" s="493"/>
      <c r="AN42" s="493"/>
      <c r="AO42" s="493"/>
      <c r="AP42" s="493"/>
      <c r="AQ42" s="493"/>
      <c r="AR42" s="493"/>
      <c r="AS42" s="493"/>
      <c r="AT42" s="493"/>
      <c r="AU42" s="493"/>
      <c r="AV42" s="493"/>
      <c r="AW42" s="493"/>
      <c r="AX42" s="493"/>
      <c r="AY42" s="493"/>
      <c r="AZ42" s="493"/>
      <c r="BA42" s="493"/>
      <c r="BB42" s="493"/>
      <c r="BC42" s="493"/>
      <c r="BD42" s="493"/>
      <c r="BE42" s="493"/>
      <c r="BF42" s="493"/>
      <c r="BG42" s="493"/>
    </row>
    <row r="43" spans="1:62" ht="15" customHeight="1">
      <c r="C43" s="76"/>
      <c r="E43" s="89"/>
      <c r="F43" s="76"/>
      <c r="G43" s="89"/>
      <c r="I43" s="76"/>
      <c r="J43" s="89"/>
      <c r="K43" s="158"/>
      <c r="L43" s="76"/>
      <c r="M43" s="89"/>
      <c r="O43" s="492"/>
      <c r="P43" s="492"/>
      <c r="Q43" s="492"/>
      <c r="R43" s="492"/>
      <c r="S43" s="492"/>
      <c r="T43" s="492"/>
      <c r="U43" s="492"/>
      <c r="V43" s="492"/>
      <c r="W43" s="492"/>
      <c r="X43" s="492"/>
      <c r="Y43" s="492"/>
      <c r="Z43" s="492"/>
      <c r="AA43" s="492"/>
      <c r="AB43" s="492"/>
      <c r="AC43" s="492"/>
      <c r="AD43" s="493"/>
      <c r="AE43" s="493"/>
      <c r="AF43" s="493"/>
      <c r="AG43" s="493"/>
      <c r="AH43" s="493"/>
      <c r="AI43" s="493"/>
      <c r="AJ43" s="493"/>
      <c r="AK43" s="493"/>
      <c r="AL43" s="493"/>
      <c r="AM43" s="493"/>
      <c r="AN43" s="493"/>
      <c r="AO43" s="493"/>
      <c r="AP43" s="493"/>
      <c r="AQ43" s="493"/>
      <c r="AR43" s="493"/>
      <c r="AS43" s="493"/>
      <c r="AT43" s="493"/>
      <c r="AU43" s="493"/>
      <c r="AV43" s="493"/>
      <c r="AW43" s="493"/>
      <c r="AX43" s="493"/>
      <c r="AY43" s="493"/>
      <c r="AZ43" s="493"/>
      <c r="BA43" s="493"/>
      <c r="BB43" s="493"/>
      <c r="BC43" s="493"/>
      <c r="BD43" s="493"/>
      <c r="BE43" s="493"/>
      <c r="BF43" s="493"/>
      <c r="BG43" s="493"/>
    </row>
    <row r="44" spans="1:62" ht="15" customHeight="1">
      <c r="C44" s="76"/>
      <c r="E44" s="89"/>
      <c r="F44" s="76"/>
      <c r="G44" s="89"/>
      <c r="I44" s="76"/>
      <c r="J44" s="89"/>
      <c r="K44" s="158"/>
      <c r="L44" s="76"/>
      <c r="M44" s="89"/>
      <c r="O44" s="492"/>
      <c r="P44" s="492"/>
      <c r="Q44" s="492"/>
      <c r="R44" s="492"/>
      <c r="S44" s="492"/>
      <c r="T44" s="492"/>
      <c r="U44" s="492"/>
      <c r="V44" s="492"/>
      <c r="W44" s="492"/>
      <c r="X44" s="492"/>
      <c r="Y44" s="492"/>
      <c r="Z44" s="492"/>
      <c r="AA44" s="492"/>
      <c r="AB44" s="492"/>
      <c r="AC44" s="492"/>
      <c r="AD44" s="493"/>
      <c r="AE44" s="493"/>
      <c r="AF44" s="493"/>
      <c r="AG44" s="493"/>
      <c r="AH44" s="493"/>
      <c r="AI44" s="493"/>
      <c r="AJ44" s="493"/>
      <c r="AK44" s="493"/>
      <c r="AL44" s="493"/>
      <c r="AM44" s="493"/>
      <c r="AN44" s="493"/>
      <c r="AO44" s="493"/>
      <c r="AP44" s="493"/>
      <c r="AQ44" s="493"/>
      <c r="AR44" s="493"/>
      <c r="AS44" s="493"/>
      <c r="AT44" s="493"/>
      <c r="AU44" s="493"/>
      <c r="AV44" s="493"/>
      <c r="AW44" s="493"/>
      <c r="AX44" s="493"/>
      <c r="AY44" s="493"/>
      <c r="AZ44" s="493"/>
      <c r="BA44" s="493"/>
      <c r="BB44" s="493"/>
      <c r="BC44" s="493"/>
      <c r="BD44" s="493"/>
      <c r="BE44" s="493"/>
      <c r="BF44" s="493"/>
      <c r="BG44" s="493"/>
    </row>
    <row r="45" spans="1:62" ht="15" customHeight="1">
      <c r="C45" s="76"/>
      <c r="E45" s="89"/>
      <c r="F45" s="76"/>
      <c r="G45" s="89"/>
      <c r="I45" s="76"/>
      <c r="J45" s="89"/>
      <c r="K45" s="158"/>
      <c r="L45" s="76"/>
      <c r="M45" s="89"/>
      <c r="O45" s="492"/>
      <c r="P45" s="492"/>
      <c r="Q45" s="492"/>
      <c r="R45" s="492"/>
      <c r="S45" s="492"/>
      <c r="T45" s="492"/>
      <c r="U45" s="492"/>
      <c r="V45" s="492"/>
      <c r="W45" s="492"/>
      <c r="X45" s="492"/>
      <c r="Y45" s="492"/>
      <c r="Z45" s="492"/>
      <c r="AA45" s="492"/>
      <c r="AB45" s="492"/>
      <c r="AC45" s="492"/>
      <c r="AD45" s="493"/>
      <c r="AE45" s="493"/>
      <c r="AF45" s="493"/>
      <c r="AG45" s="493"/>
      <c r="AH45" s="493"/>
      <c r="AI45" s="493"/>
      <c r="AJ45" s="493"/>
      <c r="AK45" s="493"/>
      <c r="AL45" s="493"/>
      <c r="AM45" s="493"/>
      <c r="AN45" s="493"/>
      <c r="AO45" s="493"/>
      <c r="AP45" s="493"/>
      <c r="AQ45" s="493"/>
      <c r="AR45" s="493"/>
      <c r="AS45" s="493"/>
      <c r="AT45" s="493"/>
      <c r="AU45" s="493"/>
      <c r="AV45" s="493"/>
      <c r="AW45" s="493"/>
      <c r="AX45" s="493"/>
      <c r="AY45" s="493"/>
      <c r="AZ45" s="493"/>
      <c r="BA45" s="493"/>
      <c r="BB45" s="493"/>
      <c r="BC45" s="493"/>
      <c r="BD45" s="493"/>
      <c r="BE45" s="493"/>
      <c r="BF45" s="493"/>
      <c r="BG45" s="493"/>
    </row>
    <row r="46" spans="1:62" ht="15" customHeight="1">
      <c r="C46" s="76"/>
      <c r="E46" s="89"/>
      <c r="F46" s="76"/>
      <c r="G46" s="89"/>
      <c r="I46" s="76"/>
      <c r="J46" s="89"/>
      <c r="K46" s="158"/>
      <c r="L46" s="76"/>
      <c r="M46" s="89"/>
      <c r="O46" s="492"/>
      <c r="P46" s="492"/>
      <c r="Q46" s="492"/>
      <c r="R46" s="492"/>
      <c r="S46" s="492"/>
      <c r="T46" s="492"/>
      <c r="U46" s="492"/>
      <c r="V46" s="492"/>
      <c r="W46" s="492"/>
      <c r="X46" s="492"/>
      <c r="Y46" s="492"/>
      <c r="Z46" s="492"/>
      <c r="AA46" s="492"/>
      <c r="AB46" s="492"/>
      <c r="AC46" s="492"/>
      <c r="AD46" s="493"/>
      <c r="AE46" s="493"/>
      <c r="AF46" s="493"/>
      <c r="AG46" s="493"/>
      <c r="AH46" s="493"/>
      <c r="AI46" s="493"/>
      <c r="AJ46" s="493"/>
      <c r="AK46" s="493"/>
      <c r="AL46" s="493"/>
      <c r="AM46" s="493"/>
      <c r="AN46" s="493"/>
      <c r="AO46" s="493"/>
      <c r="AP46" s="493"/>
      <c r="AQ46" s="493"/>
      <c r="AR46" s="493"/>
      <c r="AS46" s="493"/>
      <c r="AT46" s="493"/>
      <c r="AU46" s="493"/>
      <c r="AV46" s="493"/>
      <c r="AW46" s="493"/>
      <c r="AX46" s="493"/>
      <c r="AY46" s="493"/>
      <c r="AZ46" s="493"/>
      <c r="BA46" s="493"/>
      <c r="BB46" s="493"/>
      <c r="BC46" s="493"/>
      <c r="BD46" s="493"/>
      <c r="BE46" s="493"/>
      <c r="BF46" s="493"/>
      <c r="BG46" s="493"/>
    </row>
    <row r="47" spans="1:62" ht="15" customHeight="1">
      <c r="C47" s="76"/>
      <c r="E47" s="89"/>
      <c r="F47" s="76"/>
      <c r="G47" s="89"/>
      <c r="I47" s="76"/>
      <c r="J47" s="89"/>
      <c r="K47" s="158"/>
      <c r="L47" s="76"/>
      <c r="M47" s="89"/>
      <c r="O47" s="492"/>
      <c r="P47" s="492"/>
      <c r="Q47" s="492"/>
      <c r="R47" s="492"/>
      <c r="S47" s="492"/>
      <c r="T47" s="492"/>
      <c r="U47" s="492"/>
      <c r="V47" s="492"/>
      <c r="W47" s="492"/>
      <c r="X47" s="492"/>
      <c r="Y47" s="492"/>
      <c r="Z47" s="492"/>
      <c r="AA47" s="492"/>
      <c r="AB47" s="492"/>
      <c r="AC47" s="492"/>
      <c r="AD47" s="493"/>
      <c r="AE47" s="493"/>
      <c r="AF47" s="493"/>
      <c r="AG47" s="493"/>
      <c r="AH47" s="493"/>
      <c r="AI47" s="493"/>
      <c r="AJ47" s="493"/>
      <c r="AK47" s="493"/>
      <c r="AL47" s="493"/>
      <c r="AM47" s="493"/>
      <c r="AN47" s="493"/>
      <c r="AO47" s="493"/>
      <c r="AP47" s="493"/>
      <c r="AQ47" s="493"/>
      <c r="AR47" s="493"/>
      <c r="AS47" s="493"/>
      <c r="AT47" s="493"/>
      <c r="AU47" s="493"/>
      <c r="AV47" s="493"/>
      <c r="AW47" s="493"/>
      <c r="AX47" s="493"/>
      <c r="AY47" s="493"/>
      <c r="AZ47" s="493"/>
      <c r="BA47" s="493"/>
      <c r="BB47" s="493"/>
      <c r="BC47" s="493"/>
      <c r="BD47" s="493"/>
      <c r="BE47" s="493"/>
      <c r="BF47" s="493"/>
      <c r="BG47" s="493"/>
    </row>
    <row r="48" spans="1:62" ht="15" customHeight="1">
      <c r="C48" s="76"/>
      <c r="E48" s="89"/>
      <c r="F48" s="76"/>
      <c r="G48" s="89"/>
      <c r="I48" s="76"/>
      <c r="J48" s="89"/>
      <c r="K48" s="158"/>
      <c r="L48" s="76"/>
      <c r="M48" s="89"/>
      <c r="O48" s="492"/>
      <c r="P48" s="492"/>
      <c r="Q48" s="492"/>
      <c r="R48" s="492"/>
      <c r="S48" s="492"/>
      <c r="T48" s="492"/>
      <c r="U48" s="492"/>
      <c r="V48" s="492"/>
      <c r="W48" s="492"/>
      <c r="X48" s="492"/>
      <c r="Y48" s="492"/>
      <c r="Z48" s="492"/>
      <c r="AA48" s="492"/>
      <c r="AB48" s="492"/>
      <c r="AC48" s="492"/>
      <c r="AD48" s="493"/>
      <c r="AE48" s="493"/>
      <c r="AF48" s="493"/>
      <c r="AG48" s="493"/>
      <c r="AH48" s="493"/>
      <c r="AI48" s="493"/>
      <c r="AJ48" s="493"/>
      <c r="AK48" s="493"/>
      <c r="AL48" s="493"/>
      <c r="AM48" s="493"/>
      <c r="AN48" s="493"/>
      <c r="AO48" s="493"/>
      <c r="AP48" s="493"/>
      <c r="AQ48" s="493"/>
      <c r="AR48" s="493"/>
      <c r="AS48" s="493"/>
      <c r="AT48" s="493"/>
      <c r="AU48" s="493"/>
      <c r="AV48" s="493"/>
      <c r="AW48" s="493"/>
      <c r="AX48" s="493"/>
      <c r="AY48" s="493"/>
      <c r="AZ48" s="493"/>
      <c r="BA48" s="493"/>
      <c r="BB48" s="493"/>
      <c r="BC48" s="493"/>
      <c r="BD48" s="493"/>
      <c r="BE48" s="493"/>
      <c r="BF48" s="493"/>
      <c r="BG48" s="493"/>
    </row>
    <row r="49" spans="3:59" ht="15" customHeight="1">
      <c r="C49" s="76"/>
      <c r="E49" s="89"/>
      <c r="F49" s="76"/>
      <c r="G49" s="89"/>
      <c r="I49" s="76"/>
      <c r="J49" s="89"/>
      <c r="K49" s="158"/>
      <c r="L49" s="76"/>
      <c r="M49" s="89"/>
      <c r="O49" s="492"/>
      <c r="P49" s="492"/>
      <c r="Q49" s="492"/>
      <c r="R49" s="492"/>
      <c r="S49" s="492"/>
      <c r="T49" s="492"/>
      <c r="U49" s="492"/>
      <c r="V49" s="492"/>
      <c r="W49" s="492"/>
      <c r="X49" s="492"/>
      <c r="Y49" s="492"/>
      <c r="Z49" s="492"/>
      <c r="AA49" s="492"/>
      <c r="AB49" s="492"/>
      <c r="AC49" s="492"/>
      <c r="AD49" s="493"/>
      <c r="AE49" s="493"/>
      <c r="AF49" s="493"/>
      <c r="AG49" s="493"/>
      <c r="AH49" s="493"/>
      <c r="AI49" s="493"/>
      <c r="AJ49" s="493"/>
      <c r="AK49" s="493"/>
      <c r="AL49" s="493"/>
      <c r="AM49" s="493"/>
      <c r="AN49" s="493"/>
      <c r="AO49" s="493"/>
      <c r="AP49" s="493"/>
      <c r="AQ49" s="493"/>
      <c r="AR49" s="493"/>
      <c r="AS49" s="493"/>
      <c r="AT49" s="493"/>
      <c r="AU49" s="493"/>
      <c r="AV49" s="493"/>
      <c r="AW49" s="493"/>
      <c r="AX49" s="493"/>
      <c r="AY49" s="493"/>
      <c r="AZ49" s="493"/>
      <c r="BA49" s="493"/>
      <c r="BB49" s="493"/>
      <c r="BC49" s="493"/>
      <c r="BD49" s="493"/>
      <c r="BE49" s="493"/>
      <c r="BF49" s="493"/>
      <c r="BG49" s="493"/>
    </row>
    <row r="50" spans="3:59" ht="15" customHeight="1">
      <c r="C50" s="76"/>
      <c r="E50" s="89"/>
      <c r="F50" s="76"/>
      <c r="G50" s="89"/>
      <c r="I50" s="76"/>
      <c r="J50" s="89"/>
      <c r="K50" s="158"/>
      <c r="L50" s="76"/>
      <c r="M50" s="89"/>
      <c r="O50" s="492"/>
      <c r="P50" s="492"/>
      <c r="Q50" s="492"/>
      <c r="R50" s="492"/>
      <c r="S50" s="492"/>
      <c r="T50" s="492"/>
      <c r="U50" s="492"/>
      <c r="V50" s="492"/>
      <c r="W50" s="492"/>
      <c r="X50" s="492"/>
      <c r="Y50" s="492"/>
      <c r="Z50" s="492"/>
      <c r="AA50" s="492"/>
      <c r="AB50" s="492"/>
      <c r="AC50" s="492"/>
      <c r="AD50" s="493"/>
      <c r="AE50" s="493"/>
      <c r="AF50" s="493"/>
      <c r="AG50" s="493"/>
      <c r="AH50" s="493"/>
      <c r="AI50" s="493"/>
      <c r="AJ50" s="493"/>
      <c r="AK50" s="493"/>
      <c r="AL50" s="493"/>
      <c r="AM50" s="493"/>
      <c r="AN50" s="493"/>
      <c r="AO50" s="493"/>
      <c r="AP50" s="493"/>
      <c r="AQ50" s="493"/>
      <c r="AR50" s="493"/>
      <c r="AS50" s="493"/>
      <c r="AT50" s="493"/>
      <c r="AU50" s="493"/>
      <c r="AV50" s="493"/>
      <c r="AW50" s="493"/>
      <c r="AX50" s="493"/>
      <c r="AY50" s="493"/>
      <c r="AZ50" s="493"/>
      <c r="BA50" s="493"/>
      <c r="BB50" s="493"/>
      <c r="BC50" s="493"/>
      <c r="BD50" s="493"/>
      <c r="BE50" s="493"/>
      <c r="BF50" s="493"/>
      <c r="BG50" s="493"/>
    </row>
    <row r="51" spans="3:59" ht="15" customHeight="1">
      <c r="C51" s="76"/>
      <c r="E51" s="89"/>
      <c r="F51" s="76"/>
      <c r="G51" s="89"/>
      <c r="I51" s="76"/>
      <c r="J51" s="89"/>
      <c r="K51" s="158"/>
      <c r="L51" s="76"/>
      <c r="M51" s="89"/>
      <c r="O51" s="492"/>
      <c r="P51" s="494"/>
      <c r="Q51" s="494"/>
      <c r="R51" s="494"/>
      <c r="S51" s="492"/>
      <c r="T51" s="492"/>
      <c r="U51" s="492"/>
      <c r="V51" s="492"/>
      <c r="W51" s="492"/>
      <c r="X51" s="492"/>
      <c r="Y51" s="492"/>
      <c r="Z51" s="492"/>
      <c r="AA51" s="492"/>
      <c r="AB51" s="492"/>
      <c r="AC51" s="492"/>
      <c r="AD51" s="493"/>
      <c r="AE51" s="493"/>
      <c r="AF51" s="493"/>
      <c r="AG51" s="493"/>
      <c r="AH51" s="493"/>
      <c r="AI51" s="493"/>
      <c r="AJ51" s="493"/>
      <c r="AK51" s="493"/>
      <c r="AL51" s="493"/>
      <c r="AM51" s="493"/>
      <c r="AN51" s="493"/>
      <c r="AO51" s="493"/>
      <c r="AP51" s="493"/>
      <c r="AQ51" s="493"/>
      <c r="AR51" s="493"/>
      <c r="AS51" s="493"/>
      <c r="AT51" s="493"/>
      <c r="AU51" s="493"/>
      <c r="AV51" s="493"/>
      <c r="AW51" s="493"/>
      <c r="AX51" s="493"/>
      <c r="AY51" s="493"/>
      <c r="AZ51" s="493"/>
      <c r="BA51" s="493"/>
      <c r="BB51" s="493"/>
      <c r="BC51" s="493"/>
      <c r="BD51" s="493"/>
      <c r="BE51" s="493"/>
      <c r="BF51" s="493"/>
      <c r="BG51" s="493"/>
    </row>
    <row r="52" spans="3:59" ht="15" customHeight="1">
      <c r="C52" s="76"/>
      <c r="E52" s="89"/>
      <c r="F52" s="76"/>
      <c r="G52" s="89"/>
      <c r="I52" s="76"/>
      <c r="J52" s="89"/>
      <c r="K52" s="158"/>
      <c r="L52" s="76"/>
      <c r="M52" s="89"/>
      <c r="O52" s="492"/>
      <c r="P52" s="492"/>
      <c r="Q52" s="492"/>
      <c r="R52" s="492"/>
      <c r="S52" s="492"/>
      <c r="T52" s="492"/>
      <c r="U52" s="492"/>
      <c r="V52" s="492"/>
      <c r="W52" s="492"/>
      <c r="X52" s="492"/>
      <c r="Y52" s="492"/>
      <c r="Z52" s="492"/>
      <c r="AA52" s="492"/>
      <c r="AB52" s="492"/>
      <c r="AC52" s="492"/>
      <c r="AD52" s="493"/>
      <c r="AE52" s="493"/>
      <c r="AF52" s="493"/>
      <c r="AG52" s="493"/>
      <c r="AH52" s="493"/>
      <c r="AI52" s="493"/>
      <c r="AJ52" s="493"/>
      <c r="AK52" s="493"/>
      <c r="AL52" s="493"/>
      <c r="AM52" s="493"/>
      <c r="AN52" s="493"/>
      <c r="AO52" s="493"/>
      <c r="AP52" s="493"/>
      <c r="AQ52" s="493"/>
      <c r="AR52" s="493"/>
      <c r="AS52" s="493"/>
      <c r="AT52" s="493"/>
      <c r="AU52" s="493"/>
      <c r="AV52" s="493"/>
      <c r="AW52" s="493"/>
      <c r="AX52" s="493"/>
      <c r="AY52" s="493"/>
      <c r="AZ52" s="493"/>
      <c r="BA52" s="493"/>
      <c r="BB52" s="493"/>
      <c r="BC52" s="493"/>
      <c r="BD52" s="493"/>
      <c r="BE52" s="493"/>
      <c r="BF52" s="493"/>
      <c r="BG52" s="493"/>
    </row>
    <row r="53" spans="3:59" ht="15" customHeight="1">
      <c r="C53" s="76"/>
      <c r="E53" s="89"/>
      <c r="F53" s="76"/>
      <c r="G53" s="89"/>
      <c r="I53" s="76"/>
      <c r="J53" s="89"/>
      <c r="K53" s="158"/>
      <c r="L53" s="76"/>
      <c r="M53" s="89"/>
      <c r="O53" s="492"/>
      <c r="P53" s="492"/>
      <c r="Q53" s="492"/>
      <c r="R53" s="492"/>
      <c r="S53" s="492"/>
      <c r="T53" s="492"/>
      <c r="U53" s="492"/>
      <c r="V53" s="492"/>
      <c r="W53" s="492"/>
      <c r="X53" s="492"/>
      <c r="Y53" s="492"/>
      <c r="Z53" s="492"/>
      <c r="AA53" s="492"/>
      <c r="AB53" s="492"/>
      <c r="AC53" s="492"/>
      <c r="AD53" s="493"/>
      <c r="AE53" s="493"/>
      <c r="AF53" s="493"/>
      <c r="AG53" s="493"/>
      <c r="AH53" s="493"/>
      <c r="AI53" s="493"/>
      <c r="AJ53" s="493"/>
      <c r="AK53" s="493"/>
      <c r="AL53" s="493"/>
      <c r="AM53" s="493"/>
      <c r="AN53" s="493"/>
      <c r="AO53" s="493"/>
      <c r="AP53" s="493"/>
      <c r="AQ53" s="493"/>
      <c r="AR53" s="493"/>
      <c r="AS53" s="493"/>
      <c r="AT53" s="493"/>
      <c r="AU53" s="493"/>
      <c r="AV53" s="493"/>
      <c r="AW53" s="493"/>
      <c r="AX53" s="493"/>
      <c r="AY53" s="493"/>
      <c r="AZ53" s="493"/>
      <c r="BA53" s="493"/>
      <c r="BB53" s="493"/>
      <c r="BC53" s="493"/>
      <c r="BD53" s="493"/>
      <c r="BE53" s="493"/>
      <c r="BF53" s="493"/>
      <c r="BG53" s="493"/>
    </row>
    <row r="54" spans="3:59" ht="15" customHeight="1">
      <c r="C54" s="76"/>
      <c r="E54" s="89"/>
      <c r="F54" s="76"/>
      <c r="G54" s="89"/>
      <c r="I54" s="76"/>
      <c r="J54" s="89"/>
      <c r="K54" s="158"/>
      <c r="L54" s="76"/>
      <c r="M54" s="89"/>
      <c r="O54" s="492"/>
      <c r="P54" s="492"/>
      <c r="Q54" s="492"/>
      <c r="R54" s="492"/>
      <c r="S54" s="492"/>
      <c r="T54" s="492"/>
      <c r="U54" s="492"/>
      <c r="V54" s="492"/>
      <c r="W54" s="492"/>
      <c r="X54" s="492"/>
      <c r="Y54" s="492"/>
      <c r="Z54" s="492"/>
      <c r="AA54" s="492"/>
      <c r="AB54" s="492"/>
      <c r="AC54" s="492"/>
      <c r="AD54" s="493"/>
      <c r="AE54" s="493"/>
      <c r="AF54" s="493"/>
      <c r="AG54" s="493"/>
      <c r="AH54" s="493"/>
      <c r="AI54" s="493"/>
      <c r="AJ54" s="493"/>
      <c r="AK54" s="493"/>
      <c r="AL54" s="493"/>
      <c r="AM54" s="493"/>
      <c r="AN54" s="493"/>
      <c r="AO54" s="493"/>
      <c r="AP54" s="493"/>
      <c r="AQ54" s="493"/>
      <c r="AR54" s="493"/>
      <c r="AS54" s="493"/>
      <c r="AT54" s="493"/>
      <c r="AU54" s="493"/>
      <c r="AV54" s="493"/>
      <c r="AW54" s="493"/>
      <c r="AX54" s="493"/>
      <c r="AY54" s="493"/>
      <c r="AZ54" s="493"/>
      <c r="BA54" s="493"/>
      <c r="BB54" s="493"/>
      <c r="BC54" s="493"/>
      <c r="BD54" s="493"/>
      <c r="BE54" s="493"/>
      <c r="BF54" s="493"/>
      <c r="BG54" s="493"/>
    </row>
    <row r="55" spans="3:59" ht="15" customHeight="1">
      <c r="C55" s="76"/>
      <c r="E55" s="89"/>
      <c r="F55" s="76"/>
      <c r="G55" s="89"/>
      <c r="I55" s="76"/>
      <c r="J55" s="89"/>
      <c r="K55" s="158"/>
      <c r="L55" s="76"/>
      <c r="M55" s="89"/>
      <c r="O55" s="492"/>
      <c r="P55" s="492"/>
      <c r="Q55" s="492"/>
      <c r="R55" s="492"/>
      <c r="S55" s="492"/>
      <c r="T55" s="492"/>
      <c r="U55" s="492"/>
      <c r="V55" s="492"/>
      <c r="W55" s="492"/>
      <c r="X55" s="492"/>
      <c r="Y55" s="492"/>
      <c r="Z55" s="492"/>
      <c r="AA55" s="492"/>
      <c r="AB55" s="492"/>
      <c r="AC55" s="492"/>
      <c r="AD55" s="493"/>
      <c r="AE55" s="493"/>
      <c r="AF55" s="493"/>
      <c r="AG55" s="493"/>
      <c r="AH55" s="493"/>
      <c r="AI55" s="493"/>
      <c r="AJ55" s="493"/>
      <c r="AK55" s="493"/>
      <c r="AL55" s="493"/>
      <c r="AM55" s="493"/>
      <c r="AN55" s="493"/>
      <c r="AO55" s="493"/>
      <c r="AP55" s="493"/>
      <c r="AQ55" s="493"/>
      <c r="AR55" s="493"/>
      <c r="AS55" s="493"/>
      <c r="AT55" s="493"/>
      <c r="AU55" s="493"/>
      <c r="AV55" s="493"/>
      <c r="AW55" s="493"/>
      <c r="AX55" s="493"/>
      <c r="AY55" s="493"/>
      <c r="AZ55" s="493"/>
      <c r="BA55" s="493"/>
      <c r="BB55" s="493"/>
      <c r="BC55" s="493"/>
      <c r="BD55" s="493"/>
      <c r="BE55" s="493"/>
      <c r="BF55" s="493"/>
      <c r="BG55" s="493"/>
    </row>
    <row r="56" spans="3:59" ht="15" customHeight="1">
      <c r="C56" s="76"/>
      <c r="E56" s="89"/>
      <c r="F56" s="76"/>
      <c r="G56" s="89"/>
      <c r="I56" s="76"/>
      <c r="J56" s="89"/>
      <c r="K56" s="158"/>
      <c r="L56" s="76"/>
      <c r="M56" s="89"/>
      <c r="O56" s="492"/>
      <c r="P56" s="492"/>
      <c r="Q56" s="492"/>
      <c r="R56" s="492"/>
      <c r="S56" s="492"/>
      <c r="T56" s="492"/>
      <c r="U56" s="492"/>
      <c r="V56" s="492"/>
      <c r="W56" s="492"/>
      <c r="X56" s="492"/>
      <c r="Y56" s="492"/>
      <c r="Z56" s="492"/>
      <c r="AA56" s="492"/>
      <c r="AB56" s="492"/>
      <c r="AC56" s="492"/>
      <c r="AD56" s="493"/>
      <c r="AE56" s="493"/>
      <c r="AF56" s="493"/>
      <c r="AG56" s="493"/>
      <c r="AH56" s="493"/>
      <c r="AI56" s="493"/>
      <c r="AJ56" s="493"/>
      <c r="AK56" s="493"/>
      <c r="AL56" s="493"/>
      <c r="AM56" s="493"/>
      <c r="AN56" s="493"/>
      <c r="AO56" s="493"/>
      <c r="AP56" s="493"/>
      <c r="AQ56" s="493"/>
      <c r="AR56" s="493"/>
      <c r="AS56" s="493"/>
      <c r="AT56" s="493"/>
      <c r="AU56" s="493"/>
      <c r="AV56" s="493"/>
      <c r="AW56" s="493"/>
      <c r="AX56" s="493"/>
      <c r="AY56" s="493"/>
      <c r="AZ56" s="493"/>
      <c r="BA56" s="493"/>
      <c r="BB56" s="493"/>
      <c r="BC56" s="493"/>
      <c r="BD56" s="493"/>
      <c r="BE56" s="493"/>
      <c r="BF56" s="493"/>
      <c r="BG56" s="493"/>
    </row>
    <row r="57" spans="3:59" ht="15" customHeight="1">
      <c r="C57" s="76"/>
      <c r="E57" s="89"/>
      <c r="F57" s="76"/>
      <c r="G57" s="89"/>
      <c r="I57" s="76"/>
      <c r="J57" s="89"/>
      <c r="K57" s="158"/>
      <c r="L57" s="76"/>
      <c r="M57" s="89"/>
      <c r="O57" s="492"/>
      <c r="P57" s="492"/>
      <c r="Q57" s="492"/>
      <c r="R57" s="492"/>
      <c r="S57" s="492"/>
      <c r="T57" s="492"/>
      <c r="U57" s="492"/>
      <c r="V57" s="492"/>
      <c r="W57" s="492"/>
      <c r="X57" s="492"/>
      <c r="Y57" s="492"/>
      <c r="Z57" s="492"/>
      <c r="AA57" s="492"/>
      <c r="AB57" s="492"/>
      <c r="AC57" s="492"/>
      <c r="AD57" s="493"/>
      <c r="AE57" s="493"/>
      <c r="AF57" s="493"/>
      <c r="AG57" s="493"/>
      <c r="AH57" s="493"/>
      <c r="AI57" s="493"/>
      <c r="AJ57" s="493"/>
      <c r="AK57" s="493"/>
      <c r="AL57" s="493"/>
      <c r="AM57" s="493"/>
      <c r="AN57" s="493"/>
      <c r="AO57" s="493"/>
      <c r="AP57" s="493"/>
      <c r="AQ57" s="493"/>
      <c r="AR57" s="493"/>
      <c r="AS57" s="493"/>
      <c r="AT57" s="493"/>
      <c r="AU57" s="493"/>
      <c r="AV57" s="493"/>
      <c r="AW57" s="493"/>
      <c r="AX57" s="493"/>
      <c r="AY57" s="493"/>
      <c r="AZ57" s="493"/>
      <c r="BA57" s="493"/>
      <c r="BB57" s="493"/>
      <c r="BC57" s="493"/>
      <c r="BD57" s="493"/>
      <c r="BE57" s="493"/>
      <c r="BF57" s="493"/>
      <c r="BG57" s="493"/>
    </row>
    <row r="58" spans="3:59" ht="15" customHeight="1">
      <c r="C58" s="76"/>
      <c r="E58" s="89"/>
      <c r="F58" s="76"/>
      <c r="G58" s="89"/>
      <c r="I58" s="76"/>
      <c r="J58" s="89"/>
      <c r="K58" s="158"/>
      <c r="L58" s="76"/>
      <c r="M58" s="89"/>
      <c r="O58" s="492"/>
      <c r="P58" s="492"/>
      <c r="Q58" s="492"/>
      <c r="R58" s="492"/>
      <c r="S58" s="492"/>
      <c r="T58" s="492"/>
      <c r="U58" s="492"/>
      <c r="V58" s="492"/>
      <c r="W58" s="492"/>
      <c r="X58" s="492"/>
      <c r="Y58" s="492"/>
      <c r="Z58" s="492"/>
      <c r="AA58" s="492"/>
      <c r="AB58" s="492"/>
      <c r="AC58" s="492"/>
      <c r="AD58" s="493"/>
      <c r="AE58" s="493"/>
      <c r="AF58" s="493"/>
      <c r="AG58" s="493"/>
      <c r="AH58" s="493"/>
      <c r="AI58" s="493"/>
      <c r="AJ58" s="493"/>
      <c r="AK58" s="493"/>
      <c r="AL58" s="493"/>
      <c r="AM58" s="493"/>
      <c r="AN58" s="493"/>
      <c r="AO58" s="493"/>
      <c r="AP58" s="493"/>
      <c r="AQ58" s="493"/>
      <c r="AR58" s="493"/>
      <c r="AS58" s="493"/>
      <c r="AT58" s="493"/>
      <c r="AU58" s="493"/>
      <c r="AV58" s="493"/>
      <c r="AW58" s="493"/>
      <c r="AX58" s="493"/>
      <c r="AY58" s="493"/>
      <c r="AZ58" s="493"/>
      <c r="BA58" s="493"/>
      <c r="BB58" s="493"/>
      <c r="BC58" s="493"/>
      <c r="BD58" s="493"/>
      <c r="BE58" s="493"/>
      <c r="BF58" s="493"/>
      <c r="BG58" s="493"/>
    </row>
    <row r="59" spans="3:59" ht="15" customHeight="1">
      <c r="C59" s="76"/>
      <c r="E59" s="89"/>
      <c r="F59" s="76"/>
      <c r="G59" s="89"/>
      <c r="I59" s="76"/>
      <c r="J59" s="89"/>
      <c r="K59" s="158"/>
      <c r="L59" s="76"/>
      <c r="M59" s="89"/>
      <c r="O59" s="492"/>
      <c r="P59" s="492"/>
      <c r="Q59" s="492"/>
      <c r="R59" s="492"/>
      <c r="S59" s="492"/>
      <c r="T59" s="492"/>
      <c r="U59" s="492"/>
      <c r="V59" s="492"/>
      <c r="W59" s="492"/>
      <c r="X59" s="492"/>
      <c r="Y59" s="492"/>
      <c r="Z59" s="492"/>
      <c r="AA59" s="492"/>
      <c r="AB59" s="492"/>
      <c r="AC59" s="492"/>
      <c r="AD59" s="493"/>
      <c r="AE59" s="493"/>
      <c r="AF59" s="493"/>
      <c r="AG59" s="493"/>
      <c r="AH59" s="493"/>
      <c r="AI59" s="493"/>
      <c r="AJ59" s="493"/>
      <c r="AK59" s="493"/>
      <c r="AL59" s="493"/>
      <c r="AM59" s="493"/>
      <c r="AN59" s="493"/>
      <c r="AO59" s="493"/>
      <c r="AP59" s="493"/>
      <c r="AQ59" s="493"/>
      <c r="AR59" s="493"/>
      <c r="AS59" s="493"/>
      <c r="AT59" s="493"/>
      <c r="AU59" s="493"/>
      <c r="AV59" s="493"/>
      <c r="AW59" s="493"/>
      <c r="AX59" s="493"/>
      <c r="AY59" s="493"/>
      <c r="AZ59" s="493"/>
      <c r="BA59" s="493"/>
      <c r="BB59" s="493"/>
      <c r="BC59" s="493"/>
      <c r="BD59" s="493"/>
      <c r="BE59" s="493"/>
      <c r="BF59" s="493"/>
      <c r="BG59" s="493"/>
    </row>
    <row r="60" spans="3:59" ht="15" customHeight="1">
      <c r="C60" s="76"/>
      <c r="E60" s="89"/>
      <c r="F60" s="76"/>
      <c r="G60" s="89"/>
      <c r="I60" s="76"/>
      <c r="J60" s="89"/>
      <c r="K60" s="158"/>
      <c r="L60" s="76"/>
      <c r="M60" s="89"/>
      <c r="O60" s="492"/>
      <c r="P60" s="492"/>
      <c r="Q60" s="492"/>
      <c r="R60" s="492"/>
      <c r="S60" s="492"/>
      <c r="T60" s="492"/>
      <c r="U60" s="492"/>
      <c r="V60" s="492"/>
      <c r="W60" s="492"/>
      <c r="X60" s="492"/>
      <c r="Y60" s="492"/>
      <c r="Z60" s="492"/>
      <c r="AA60" s="492"/>
      <c r="AB60" s="492"/>
      <c r="AC60" s="492"/>
      <c r="AD60" s="493"/>
      <c r="AE60" s="493"/>
      <c r="AF60" s="493"/>
      <c r="AG60" s="493"/>
      <c r="AH60" s="493"/>
      <c r="AI60" s="493"/>
      <c r="AJ60" s="493"/>
      <c r="AK60" s="493"/>
      <c r="AL60" s="493"/>
      <c r="AM60" s="493"/>
      <c r="AN60" s="493"/>
      <c r="AO60" s="493"/>
      <c r="AP60" s="493"/>
      <c r="AQ60" s="493"/>
      <c r="AR60" s="493"/>
      <c r="AS60" s="493"/>
      <c r="AT60" s="493"/>
      <c r="AU60" s="493"/>
      <c r="AV60" s="493"/>
      <c r="AW60" s="493"/>
      <c r="AX60" s="493"/>
      <c r="AY60" s="493"/>
      <c r="AZ60" s="493"/>
      <c r="BA60" s="493"/>
      <c r="BB60" s="493"/>
      <c r="BC60" s="493"/>
      <c r="BD60" s="493"/>
      <c r="BE60" s="493"/>
      <c r="BF60" s="493"/>
      <c r="BG60" s="493"/>
    </row>
    <row r="61" spans="3:59" ht="15" customHeight="1">
      <c r="C61" s="76"/>
      <c r="E61" s="89"/>
      <c r="F61" s="76"/>
      <c r="G61" s="89"/>
      <c r="I61" s="76"/>
      <c r="J61" s="89"/>
      <c r="K61" s="158"/>
      <c r="L61" s="76"/>
      <c r="M61" s="89"/>
      <c r="O61" s="492"/>
      <c r="P61" s="492"/>
      <c r="Q61" s="492"/>
      <c r="R61" s="492"/>
      <c r="S61" s="492"/>
      <c r="T61" s="492"/>
      <c r="U61" s="492"/>
      <c r="V61" s="492"/>
      <c r="W61" s="492"/>
      <c r="X61" s="492"/>
      <c r="Y61" s="492"/>
      <c r="Z61" s="492"/>
      <c r="AA61" s="492"/>
      <c r="AB61" s="492"/>
      <c r="AC61" s="492"/>
      <c r="AD61" s="493"/>
      <c r="AE61" s="493"/>
      <c r="AF61" s="493"/>
      <c r="AG61" s="493"/>
      <c r="AH61" s="493"/>
      <c r="AI61" s="493"/>
      <c r="AJ61" s="493"/>
      <c r="AK61" s="493"/>
      <c r="AL61" s="493"/>
      <c r="AM61" s="493"/>
      <c r="AN61" s="493"/>
      <c r="AO61" s="493"/>
      <c r="AP61" s="493"/>
      <c r="AQ61" s="493"/>
      <c r="AR61" s="493"/>
      <c r="AS61" s="493"/>
      <c r="AT61" s="493"/>
      <c r="AU61" s="493"/>
      <c r="AV61" s="493"/>
      <c r="AW61" s="493"/>
      <c r="AX61" s="493"/>
      <c r="AY61" s="493"/>
      <c r="AZ61" s="493"/>
      <c r="BA61" s="493"/>
      <c r="BB61" s="493"/>
      <c r="BC61" s="493"/>
      <c r="BD61" s="493"/>
      <c r="BE61" s="493"/>
      <c r="BF61" s="493"/>
      <c r="BG61" s="493"/>
    </row>
    <row r="62" spans="3:59" ht="15" customHeight="1">
      <c r="C62" s="76"/>
      <c r="E62" s="89"/>
      <c r="F62" s="76"/>
      <c r="G62" s="89"/>
      <c r="I62" s="76"/>
      <c r="J62" s="89"/>
      <c r="K62" s="158"/>
      <c r="L62" s="76"/>
      <c r="M62" s="89"/>
      <c r="O62" s="492"/>
      <c r="P62" s="492"/>
      <c r="Q62" s="492"/>
      <c r="R62" s="492"/>
      <c r="S62" s="492"/>
      <c r="T62" s="492"/>
      <c r="U62" s="492"/>
      <c r="V62" s="492"/>
      <c r="W62" s="492"/>
      <c r="X62" s="492"/>
      <c r="Y62" s="492"/>
      <c r="Z62" s="492"/>
      <c r="AA62" s="492"/>
      <c r="AB62" s="492"/>
      <c r="AC62" s="492"/>
      <c r="AD62" s="493"/>
      <c r="AE62" s="493"/>
      <c r="AF62" s="493"/>
      <c r="AG62" s="493"/>
      <c r="AH62" s="493"/>
      <c r="AI62" s="493"/>
      <c r="AJ62" s="493"/>
      <c r="AK62" s="493"/>
      <c r="AL62" s="493"/>
      <c r="AM62" s="493"/>
      <c r="AN62" s="493"/>
      <c r="AO62" s="493"/>
      <c r="AP62" s="493"/>
      <c r="AQ62" s="493"/>
      <c r="AR62" s="493"/>
      <c r="AS62" s="493"/>
      <c r="AT62" s="493"/>
      <c r="AU62" s="493"/>
      <c r="AV62" s="493"/>
      <c r="AW62" s="493"/>
      <c r="AX62" s="493"/>
      <c r="AY62" s="493"/>
      <c r="AZ62" s="493"/>
      <c r="BA62" s="493"/>
      <c r="BB62" s="493"/>
      <c r="BC62" s="493"/>
      <c r="BD62" s="493"/>
      <c r="BE62" s="493"/>
      <c r="BF62" s="493"/>
      <c r="BG62" s="493"/>
    </row>
    <row r="63" spans="3:59" ht="15" customHeight="1">
      <c r="C63" s="76"/>
      <c r="E63" s="89"/>
      <c r="F63" s="76"/>
      <c r="G63" s="89"/>
      <c r="I63" s="76"/>
      <c r="J63" s="89"/>
      <c r="K63" s="158"/>
      <c r="L63" s="76"/>
      <c r="M63" s="89"/>
      <c r="O63" s="492"/>
      <c r="P63" s="492"/>
      <c r="Q63" s="492"/>
      <c r="R63" s="492"/>
      <c r="S63" s="492"/>
      <c r="T63" s="492"/>
      <c r="U63" s="492"/>
      <c r="V63" s="492"/>
      <c r="W63" s="492"/>
      <c r="X63" s="492"/>
      <c r="Y63" s="492"/>
      <c r="Z63" s="492"/>
      <c r="AA63" s="492"/>
      <c r="AB63" s="492"/>
      <c r="AC63" s="492"/>
      <c r="AD63" s="493"/>
      <c r="AE63" s="493"/>
      <c r="AF63" s="493"/>
      <c r="AG63" s="493"/>
      <c r="AH63" s="493"/>
      <c r="AI63" s="493"/>
      <c r="AJ63" s="493"/>
      <c r="AK63" s="493"/>
      <c r="AL63" s="493"/>
      <c r="AM63" s="493"/>
      <c r="AN63" s="493"/>
      <c r="AO63" s="493"/>
      <c r="AP63" s="493"/>
      <c r="AQ63" s="493"/>
      <c r="AR63" s="493"/>
      <c r="AS63" s="493"/>
      <c r="AT63" s="493"/>
      <c r="AU63" s="493"/>
      <c r="AV63" s="493"/>
      <c r="AW63" s="493"/>
      <c r="AX63" s="493"/>
      <c r="AY63" s="493"/>
      <c r="AZ63" s="493"/>
      <c r="BA63" s="493"/>
      <c r="BB63" s="493"/>
      <c r="BC63" s="493"/>
      <c r="BD63" s="493"/>
      <c r="BE63" s="493"/>
      <c r="BF63" s="493"/>
      <c r="BG63" s="493"/>
    </row>
    <row r="64" spans="3:59" ht="15" customHeight="1">
      <c r="C64" s="76"/>
      <c r="E64" s="89"/>
      <c r="F64" s="76"/>
      <c r="G64" s="89"/>
      <c r="I64" s="76"/>
      <c r="J64" s="89"/>
      <c r="K64" s="158"/>
      <c r="L64" s="76"/>
      <c r="M64" s="89"/>
      <c r="O64" s="492"/>
      <c r="P64" s="492"/>
      <c r="Q64" s="492"/>
      <c r="R64" s="492"/>
      <c r="S64" s="492"/>
      <c r="T64" s="492"/>
      <c r="U64" s="492"/>
      <c r="V64" s="492"/>
      <c r="W64" s="492"/>
      <c r="X64" s="492"/>
      <c r="Y64" s="492"/>
      <c r="Z64" s="492"/>
      <c r="AA64" s="492"/>
      <c r="AB64" s="492"/>
      <c r="AC64" s="492"/>
      <c r="AD64" s="493"/>
      <c r="AE64" s="493"/>
      <c r="AF64" s="493"/>
      <c r="AG64" s="493"/>
      <c r="AH64" s="493"/>
      <c r="AI64" s="493"/>
      <c r="AJ64" s="493"/>
      <c r="AK64" s="493"/>
      <c r="AL64" s="493"/>
      <c r="AM64" s="493"/>
      <c r="AN64" s="493"/>
      <c r="AO64" s="493"/>
      <c r="AP64" s="493"/>
      <c r="AQ64" s="493"/>
      <c r="AR64" s="493"/>
      <c r="AS64" s="493"/>
      <c r="AT64" s="493"/>
      <c r="AU64" s="493"/>
      <c r="AV64" s="493"/>
      <c r="AW64" s="493"/>
      <c r="AX64" s="493"/>
      <c r="AY64" s="493"/>
      <c r="AZ64" s="493"/>
      <c r="BA64" s="493"/>
      <c r="BB64" s="493"/>
      <c r="BC64" s="493"/>
      <c r="BD64" s="493"/>
      <c r="BE64" s="493"/>
      <c r="BF64" s="493"/>
      <c r="BG64" s="493"/>
    </row>
    <row r="65" spans="1:59" ht="15" customHeight="1">
      <c r="C65" s="76"/>
      <c r="E65" s="89"/>
      <c r="F65" s="76"/>
      <c r="G65" s="89"/>
      <c r="I65" s="76"/>
      <c r="J65" s="89"/>
      <c r="K65" s="158"/>
      <c r="L65" s="76"/>
      <c r="M65" s="89"/>
      <c r="O65" s="492"/>
      <c r="P65" s="492"/>
      <c r="Q65" s="492"/>
      <c r="R65" s="492"/>
      <c r="S65" s="492"/>
      <c r="T65" s="492"/>
      <c r="U65" s="492"/>
      <c r="V65" s="492"/>
      <c r="W65" s="492"/>
      <c r="X65" s="492"/>
      <c r="Y65" s="492"/>
      <c r="Z65" s="492"/>
      <c r="AA65" s="492"/>
      <c r="AB65" s="492"/>
      <c r="AC65" s="492"/>
      <c r="AD65" s="493"/>
      <c r="AE65" s="493"/>
      <c r="AF65" s="493"/>
      <c r="AG65" s="493"/>
      <c r="AH65" s="493"/>
      <c r="AI65" s="493"/>
      <c r="AJ65" s="493"/>
      <c r="AK65" s="493"/>
      <c r="AL65" s="493"/>
      <c r="AM65" s="493"/>
      <c r="AN65" s="493"/>
      <c r="AO65" s="493"/>
      <c r="AP65" s="493"/>
      <c r="AQ65" s="493"/>
      <c r="AR65" s="493"/>
      <c r="AS65" s="493"/>
      <c r="AT65" s="493"/>
      <c r="AU65" s="493"/>
      <c r="AV65" s="493"/>
      <c r="AW65" s="493"/>
      <c r="AX65" s="493"/>
      <c r="AY65" s="493"/>
      <c r="AZ65" s="493"/>
      <c r="BA65" s="493"/>
      <c r="BB65" s="493"/>
      <c r="BC65" s="493"/>
      <c r="BD65" s="493"/>
      <c r="BE65" s="493"/>
      <c r="BF65" s="493"/>
      <c r="BG65" s="493"/>
    </row>
    <row r="66" spans="1:59" ht="15" customHeight="1">
      <c r="C66" s="76"/>
      <c r="E66" s="89"/>
      <c r="F66" s="76"/>
      <c r="G66" s="89"/>
      <c r="I66" s="76"/>
      <c r="J66" s="89"/>
      <c r="K66" s="158"/>
      <c r="L66" s="76"/>
      <c r="M66" s="89"/>
      <c r="O66" s="492"/>
      <c r="P66" s="492"/>
      <c r="Q66" s="492"/>
      <c r="R66" s="492"/>
      <c r="S66" s="492"/>
      <c r="T66" s="492"/>
      <c r="U66" s="492"/>
      <c r="V66" s="492"/>
      <c r="W66" s="492"/>
      <c r="X66" s="492"/>
      <c r="Y66" s="492"/>
      <c r="Z66" s="492"/>
      <c r="AA66" s="492"/>
      <c r="AB66" s="492"/>
      <c r="AC66" s="492"/>
      <c r="AD66" s="493"/>
      <c r="AE66" s="493"/>
      <c r="AF66" s="493"/>
      <c r="AG66" s="493"/>
      <c r="AH66" s="493"/>
      <c r="AI66" s="493"/>
      <c r="AJ66" s="493"/>
      <c r="AK66" s="493"/>
      <c r="AL66" s="493"/>
      <c r="AM66" s="493"/>
      <c r="AN66" s="493"/>
      <c r="AO66" s="493"/>
      <c r="AP66" s="493"/>
      <c r="AQ66" s="493"/>
      <c r="AR66" s="493"/>
      <c r="AS66" s="493"/>
      <c r="AT66" s="493"/>
      <c r="AU66" s="493"/>
      <c r="AV66" s="493"/>
      <c r="AW66" s="493"/>
      <c r="AX66" s="493"/>
      <c r="AY66" s="493"/>
      <c r="AZ66" s="493"/>
      <c r="BA66" s="493"/>
      <c r="BB66" s="493"/>
      <c r="BC66" s="493"/>
      <c r="BD66" s="493"/>
      <c r="BE66" s="493"/>
      <c r="BF66" s="493"/>
      <c r="BG66" s="493"/>
    </row>
    <row r="67" spans="1:59" ht="15" customHeight="1">
      <c r="C67" s="76"/>
      <c r="E67" s="89"/>
      <c r="F67" s="76"/>
      <c r="G67" s="89"/>
      <c r="I67" s="76"/>
      <c r="J67" s="89"/>
      <c r="K67" s="158"/>
      <c r="L67" s="76"/>
      <c r="M67" s="89"/>
      <c r="O67" s="492"/>
      <c r="P67" s="492"/>
      <c r="Q67" s="492"/>
      <c r="R67" s="492"/>
      <c r="S67" s="492"/>
      <c r="T67" s="492"/>
      <c r="U67" s="492"/>
      <c r="V67" s="492"/>
      <c r="W67" s="492"/>
      <c r="X67" s="492"/>
      <c r="Y67" s="492"/>
      <c r="Z67" s="492"/>
      <c r="AA67" s="492"/>
      <c r="AB67" s="492"/>
      <c r="AC67" s="492"/>
      <c r="AD67" s="493"/>
      <c r="AE67" s="493"/>
      <c r="AF67" s="493"/>
      <c r="AG67" s="493"/>
      <c r="AH67" s="493"/>
      <c r="AI67" s="493"/>
      <c r="AJ67" s="493"/>
      <c r="AK67" s="493"/>
      <c r="AL67" s="493"/>
      <c r="AM67" s="493"/>
      <c r="AN67" s="493"/>
      <c r="AO67" s="493"/>
      <c r="AP67" s="493"/>
      <c r="AQ67" s="493"/>
      <c r="AR67" s="493"/>
      <c r="AS67" s="493"/>
      <c r="AT67" s="493"/>
      <c r="AU67" s="493"/>
      <c r="AV67" s="493"/>
      <c r="AW67" s="493"/>
      <c r="AX67" s="493"/>
      <c r="AY67" s="493"/>
      <c r="AZ67" s="493"/>
      <c r="BA67" s="493"/>
      <c r="BB67" s="493"/>
      <c r="BC67" s="493"/>
      <c r="BD67" s="493"/>
      <c r="BE67" s="493"/>
      <c r="BF67" s="493"/>
      <c r="BG67" s="493"/>
    </row>
    <row r="68" spans="1:59" ht="15" customHeight="1">
      <c r="C68" s="76"/>
      <c r="E68" s="89"/>
      <c r="F68" s="76"/>
      <c r="G68" s="89"/>
      <c r="I68" s="76"/>
      <c r="J68" s="89"/>
      <c r="K68" s="158"/>
      <c r="L68" s="76"/>
      <c r="M68" s="89"/>
      <c r="O68" s="492"/>
      <c r="P68" s="492"/>
      <c r="Q68" s="492"/>
      <c r="R68" s="492"/>
      <c r="S68" s="492"/>
      <c r="T68" s="492"/>
      <c r="U68" s="492"/>
      <c r="V68" s="492"/>
      <c r="W68" s="492"/>
      <c r="X68" s="492"/>
      <c r="Y68" s="492"/>
      <c r="Z68" s="492"/>
      <c r="AA68" s="492"/>
      <c r="AB68" s="492"/>
      <c r="AC68" s="492"/>
      <c r="AD68" s="493"/>
      <c r="AE68" s="493"/>
      <c r="AF68" s="493"/>
      <c r="AG68" s="493"/>
      <c r="AH68" s="493"/>
      <c r="AI68" s="493"/>
      <c r="AJ68" s="493"/>
      <c r="AK68" s="493"/>
      <c r="AL68" s="493"/>
      <c r="AM68" s="493"/>
      <c r="AN68" s="493"/>
      <c r="AO68" s="493"/>
      <c r="AP68" s="493"/>
      <c r="AQ68" s="493"/>
      <c r="AR68" s="493"/>
      <c r="AS68" s="493"/>
      <c r="AT68" s="493"/>
      <c r="AU68" s="493"/>
      <c r="AV68" s="493"/>
      <c r="AW68" s="493"/>
      <c r="AX68" s="493"/>
      <c r="AY68" s="493"/>
      <c r="AZ68" s="493"/>
      <c r="BA68" s="493"/>
      <c r="BB68" s="493"/>
      <c r="BC68" s="493"/>
      <c r="BD68" s="493"/>
      <c r="BE68" s="493"/>
      <c r="BF68" s="493"/>
      <c r="BG68" s="493"/>
    </row>
    <row r="69" spans="1:59" ht="15" customHeight="1">
      <c r="C69" s="76"/>
      <c r="E69" s="89"/>
      <c r="F69" s="76"/>
      <c r="G69" s="89"/>
      <c r="I69" s="76"/>
      <c r="J69" s="89"/>
      <c r="K69" s="158"/>
      <c r="L69" s="76"/>
      <c r="M69" s="89"/>
      <c r="O69" s="492"/>
      <c r="P69" s="492"/>
      <c r="Q69" s="492"/>
      <c r="R69" s="492"/>
      <c r="S69" s="492"/>
      <c r="T69" s="492"/>
      <c r="U69" s="492"/>
      <c r="V69" s="492"/>
      <c r="W69" s="492"/>
      <c r="X69" s="492"/>
      <c r="Y69" s="492"/>
      <c r="Z69" s="492"/>
      <c r="AA69" s="492"/>
      <c r="AB69" s="492"/>
      <c r="AC69" s="492"/>
      <c r="AD69" s="493"/>
      <c r="AE69" s="493"/>
      <c r="AF69" s="493"/>
      <c r="AG69" s="493"/>
      <c r="AH69" s="493"/>
      <c r="AI69" s="493"/>
      <c r="AJ69" s="493"/>
      <c r="AK69" s="493"/>
      <c r="AL69" s="493"/>
      <c r="AM69" s="493"/>
      <c r="AN69" s="493"/>
      <c r="AO69" s="493"/>
      <c r="AP69" s="493"/>
      <c r="AQ69" s="493"/>
      <c r="AR69" s="493"/>
      <c r="AS69" s="493"/>
      <c r="AT69" s="493"/>
      <c r="AU69" s="493"/>
      <c r="AV69" s="493"/>
      <c r="AW69" s="493"/>
      <c r="AX69" s="493"/>
      <c r="AY69" s="493"/>
      <c r="AZ69" s="493"/>
      <c r="BA69" s="493"/>
      <c r="BB69" s="493"/>
      <c r="BC69" s="493"/>
      <c r="BD69" s="493"/>
      <c r="BE69" s="493"/>
      <c r="BF69" s="493"/>
      <c r="BG69" s="493"/>
    </row>
    <row r="70" spans="1:59" ht="15" customHeight="1">
      <c r="C70" s="76"/>
      <c r="E70" s="89"/>
      <c r="F70" s="76"/>
      <c r="G70" s="89"/>
      <c r="I70" s="76"/>
      <c r="J70" s="89"/>
      <c r="K70" s="158"/>
      <c r="L70" s="76"/>
      <c r="M70" s="89"/>
      <c r="O70" s="492"/>
      <c r="P70" s="492"/>
      <c r="Q70" s="492"/>
      <c r="R70" s="492"/>
      <c r="S70" s="492"/>
      <c r="T70" s="492"/>
      <c r="U70" s="492"/>
      <c r="V70" s="492"/>
      <c r="W70" s="492"/>
      <c r="X70" s="492"/>
      <c r="Y70" s="492"/>
      <c r="Z70" s="492"/>
      <c r="AA70" s="492"/>
      <c r="AB70" s="492"/>
      <c r="AC70" s="492"/>
      <c r="AD70" s="493"/>
      <c r="AE70" s="493"/>
      <c r="AF70" s="493"/>
      <c r="AG70" s="493"/>
      <c r="AH70" s="493"/>
      <c r="AI70" s="493"/>
      <c r="AJ70" s="493"/>
      <c r="AK70" s="493"/>
      <c r="AL70" s="493"/>
      <c r="AM70" s="493"/>
      <c r="AN70" s="493"/>
      <c r="AO70" s="493"/>
      <c r="AP70" s="493"/>
      <c r="AQ70" s="493"/>
      <c r="AR70" s="493"/>
      <c r="AS70" s="493"/>
      <c r="AT70" s="493"/>
      <c r="AU70" s="493"/>
      <c r="AV70" s="493"/>
      <c r="AW70" s="493"/>
      <c r="AX70" s="493"/>
      <c r="AY70" s="493"/>
      <c r="AZ70" s="493"/>
      <c r="BA70" s="493"/>
      <c r="BB70" s="493"/>
      <c r="BC70" s="493"/>
      <c r="BD70" s="493"/>
      <c r="BE70" s="493"/>
      <c r="BF70" s="493"/>
      <c r="BG70" s="493"/>
    </row>
    <row r="71" spans="1:59" ht="15" customHeight="1" thickBot="1">
      <c r="C71" s="76"/>
      <c r="E71" s="89"/>
      <c r="F71" s="76"/>
      <c r="G71" s="89"/>
      <c r="I71" s="76"/>
      <c r="J71" s="89"/>
      <c r="K71" s="158"/>
      <c r="L71" s="76"/>
      <c r="M71" s="89"/>
      <c r="O71" s="492"/>
      <c r="P71" s="492"/>
      <c r="Q71" s="492"/>
      <c r="R71" s="492"/>
      <c r="S71" s="492"/>
      <c r="T71" s="492"/>
      <c r="U71" s="492"/>
      <c r="V71" s="492"/>
      <c r="W71" s="492"/>
      <c r="X71" s="492"/>
      <c r="Y71" s="492"/>
      <c r="Z71" s="492"/>
      <c r="AA71" s="492"/>
      <c r="AB71" s="492"/>
      <c r="AC71" s="492"/>
      <c r="AD71" s="493"/>
      <c r="AE71" s="493"/>
      <c r="AF71" s="493"/>
      <c r="AG71" s="493"/>
      <c r="AH71" s="493"/>
      <c r="AI71" s="493"/>
      <c r="AJ71" s="493"/>
      <c r="AK71" s="493"/>
      <c r="AL71" s="493"/>
      <c r="AM71" s="493"/>
      <c r="AN71" s="493"/>
      <c r="AO71" s="493"/>
      <c r="AP71" s="493"/>
      <c r="AQ71" s="493"/>
      <c r="AR71" s="493"/>
      <c r="AS71" s="493"/>
      <c r="AT71" s="493"/>
      <c r="AU71" s="493"/>
      <c r="AV71" s="493"/>
      <c r="AW71" s="493"/>
      <c r="AX71" s="493"/>
      <c r="AY71" s="493"/>
      <c r="AZ71" s="493"/>
      <c r="BA71" s="493"/>
      <c r="BB71" s="493"/>
      <c r="BC71" s="493"/>
      <c r="BD71" s="493"/>
      <c r="BE71" s="493"/>
      <c r="BF71" s="493"/>
      <c r="BG71" s="493"/>
    </row>
    <row r="72" spans="1:59" ht="15" customHeight="1">
      <c r="A72" s="159" t="s">
        <v>101</v>
      </c>
      <c r="B72" s="67"/>
      <c r="C72" s="67"/>
      <c r="D72" s="160"/>
      <c r="E72" s="161" t="s">
        <v>102</v>
      </c>
      <c r="F72" s="67"/>
      <c r="G72" s="162"/>
      <c r="H72" s="67"/>
      <c r="I72" s="67"/>
      <c r="J72" s="160"/>
      <c r="K72" s="163" t="s">
        <v>103</v>
      </c>
      <c r="L72" s="67"/>
      <c r="M72" s="162"/>
      <c r="N72" s="68"/>
      <c r="O72" s="492"/>
      <c r="P72" s="492"/>
      <c r="Q72" s="492"/>
      <c r="R72" s="492"/>
      <c r="S72" s="492"/>
      <c r="T72" s="492"/>
      <c r="U72" s="492"/>
      <c r="V72" s="492"/>
      <c r="W72" s="492"/>
      <c r="X72" s="492"/>
      <c r="Y72" s="492"/>
      <c r="Z72" s="492"/>
      <c r="AA72" s="492"/>
      <c r="AB72" s="492"/>
      <c r="AC72" s="492"/>
      <c r="AD72" s="493"/>
      <c r="AE72" s="493"/>
      <c r="AF72" s="493"/>
      <c r="AG72" s="493"/>
      <c r="AH72" s="493"/>
      <c r="AI72" s="493"/>
      <c r="AJ72" s="493"/>
      <c r="AK72" s="493"/>
      <c r="AL72" s="493"/>
      <c r="AM72" s="493"/>
      <c r="AN72" s="493"/>
      <c r="AO72" s="493"/>
      <c r="AP72" s="493"/>
      <c r="AQ72" s="493"/>
      <c r="AR72" s="493"/>
      <c r="AS72" s="493"/>
      <c r="AT72" s="493"/>
      <c r="AU72" s="493"/>
      <c r="AV72" s="493"/>
      <c r="AW72" s="493"/>
      <c r="AX72" s="493"/>
      <c r="AY72" s="493"/>
      <c r="AZ72" s="493"/>
      <c r="BA72" s="493"/>
      <c r="BB72" s="493"/>
      <c r="BC72" s="493"/>
      <c r="BD72" s="493"/>
      <c r="BE72" s="493"/>
      <c r="BF72" s="493"/>
      <c r="BG72" s="493"/>
    </row>
    <row r="73" spans="1:59" ht="15" customHeight="1">
      <c r="A73" s="77"/>
      <c r="C73" s="76"/>
      <c r="D73" s="164"/>
      <c r="E73" s="165"/>
      <c r="F73" s="76"/>
      <c r="G73" s="89"/>
      <c r="I73" s="76"/>
      <c r="J73" s="164"/>
      <c r="K73" s="166"/>
      <c r="L73" s="76"/>
      <c r="M73" s="89"/>
      <c r="N73" s="78"/>
      <c r="O73" s="492"/>
      <c r="P73" s="492"/>
      <c r="Q73" s="492"/>
      <c r="R73" s="492"/>
      <c r="S73" s="492"/>
      <c r="T73" s="492"/>
      <c r="U73" s="492"/>
      <c r="V73" s="492"/>
      <c r="W73" s="492"/>
      <c r="X73" s="492"/>
      <c r="Y73" s="492"/>
      <c r="Z73" s="492"/>
      <c r="AA73" s="492"/>
      <c r="AB73" s="492"/>
      <c r="AC73" s="492"/>
      <c r="AD73" s="493"/>
      <c r="AE73" s="493"/>
      <c r="AF73" s="493"/>
      <c r="AG73" s="493"/>
      <c r="AH73" s="493"/>
      <c r="AI73" s="493"/>
      <c r="AJ73" s="493"/>
      <c r="AK73" s="493"/>
      <c r="AL73" s="493"/>
      <c r="AM73" s="493"/>
      <c r="AN73" s="493"/>
      <c r="AO73" s="493"/>
      <c r="AP73" s="493"/>
      <c r="AQ73" s="493"/>
      <c r="AR73" s="493"/>
      <c r="AS73" s="493"/>
      <c r="AT73" s="493"/>
      <c r="AU73" s="493"/>
      <c r="AV73" s="493"/>
      <c r="AW73" s="493"/>
      <c r="AX73" s="493"/>
      <c r="AY73" s="493"/>
      <c r="AZ73" s="493"/>
      <c r="BA73" s="493"/>
      <c r="BB73" s="493"/>
      <c r="BC73" s="493"/>
      <c r="BD73" s="493"/>
      <c r="BE73" s="493"/>
      <c r="BF73" s="493"/>
      <c r="BG73" s="493"/>
    </row>
    <row r="74" spans="1:59" ht="15" customHeight="1" thickBot="1">
      <c r="A74" s="80"/>
      <c r="B74" s="81"/>
      <c r="C74" s="81"/>
      <c r="D74" s="167">
        <f>M4</f>
        <v>45239</v>
      </c>
      <c r="E74" s="168"/>
      <c r="F74" s="81"/>
      <c r="G74" s="169"/>
      <c r="H74" s="81"/>
      <c r="I74" s="81"/>
      <c r="J74" s="167">
        <f>D74</f>
        <v>45239</v>
      </c>
      <c r="K74" s="170"/>
      <c r="L74" s="81"/>
      <c r="M74" s="169"/>
      <c r="N74" s="167">
        <f>J74</f>
        <v>45239</v>
      </c>
      <c r="O74" s="492"/>
      <c r="P74" s="492"/>
      <c r="Q74" s="492"/>
      <c r="R74" s="492"/>
      <c r="S74" s="492"/>
      <c r="T74" s="492"/>
      <c r="U74" s="492"/>
      <c r="V74" s="492"/>
      <c r="W74" s="492"/>
      <c r="X74" s="492"/>
      <c r="Y74" s="492"/>
      <c r="Z74" s="492"/>
      <c r="AA74" s="492"/>
      <c r="AB74" s="492"/>
      <c r="AC74" s="492"/>
      <c r="AD74" s="493"/>
      <c r="AE74" s="493"/>
      <c r="AF74" s="493"/>
      <c r="AG74" s="493"/>
      <c r="AH74" s="493"/>
      <c r="AI74" s="493"/>
      <c r="AJ74" s="493"/>
      <c r="AK74" s="493"/>
      <c r="AL74" s="493"/>
      <c r="AM74" s="493"/>
      <c r="AN74" s="493"/>
      <c r="AO74" s="493"/>
      <c r="AP74" s="493"/>
      <c r="AQ74" s="493"/>
      <c r="AR74" s="493"/>
      <c r="AS74" s="493"/>
      <c r="AT74" s="493"/>
      <c r="AU74" s="493"/>
      <c r="AV74" s="493"/>
      <c r="AW74" s="493"/>
      <c r="AX74" s="493"/>
      <c r="AY74" s="493"/>
      <c r="AZ74" s="493"/>
      <c r="BA74" s="493"/>
      <c r="BB74" s="493"/>
      <c r="BC74" s="493"/>
      <c r="BD74" s="493"/>
      <c r="BE74" s="493"/>
      <c r="BF74" s="493"/>
      <c r="BG74" s="493"/>
    </row>
    <row r="75" spans="1:59" ht="20.100000000000001" customHeight="1">
      <c r="A75" s="66"/>
      <c r="B75" s="67"/>
      <c r="C75" s="68"/>
      <c r="D75" s="171"/>
      <c r="E75" s="171"/>
      <c r="F75" s="171"/>
      <c r="G75" s="171"/>
      <c r="H75" s="171"/>
      <c r="I75" s="171"/>
      <c r="J75" s="172"/>
      <c r="K75" s="171"/>
      <c r="L75" s="173"/>
      <c r="M75" s="587"/>
      <c r="N75" s="588"/>
      <c r="O75" s="492"/>
      <c r="P75" s="492"/>
      <c r="Q75" s="492"/>
      <c r="R75" s="492"/>
      <c r="S75" s="492"/>
      <c r="T75" s="492"/>
      <c r="U75" s="492"/>
      <c r="V75" s="492"/>
      <c r="W75" s="492"/>
      <c r="X75" s="492"/>
      <c r="Y75" s="492"/>
      <c r="Z75" s="492"/>
      <c r="AA75" s="492"/>
      <c r="AB75" s="492"/>
      <c r="AC75" s="492"/>
      <c r="AD75" s="493"/>
      <c r="AE75" s="493"/>
      <c r="AF75" s="493"/>
      <c r="AG75" s="493"/>
      <c r="AH75" s="493"/>
      <c r="AI75" s="493"/>
      <c r="AJ75" s="493"/>
      <c r="AK75" s="493"/>
      <c r="AL75" s="493"/>
      <c r="AM75" s="493"/>
      <c r="AN75" s="493"/>
      <c r="AO75" s="493"/>
      <c r="AP75" s="493"/>
      <c r="AQ75" s="493"/>
      <c r="AR75" s="493"/>
      <c r="AS75" s="493"/>
      <c r="AT75" s="493"/>
      <c r="AU75" s="493"/>
      <c r="AV75" s="493"/>
      <c r="AW75" s="493"/>
      <c r="AX75" s="493"/>
      <c r="AY75" s="493"/>
      <c r="AZ75" s="493"/>
      <c r="BA75" s="493"/>
      <c r="BB75" s="493"/>
      <c r="BC75" s="493"/>
      <c r="BD75" s="493"/>
      <c r="BE75" s="493"/>
      <c r="BF75" s="493"/>
      <c r="BG75" s="493"/>
    </row>
    <row r="76" spans="1:59" ht="20.100000000000001" customHeight="1">
      <c r="A76" s="77"/>
      <c r="C76" s="78"/>
      <c r="D76" s="589" t="str">
        <f>D2</f>
        <v>MAC QT 160 P</v>
      </c>
      <c r="E76" s="590"/>
      <c r="F76" s="590"/>
      <c r="G76" s="590"/>
      <c r="H76" s="590"/>
      <c r="I76" s="590"/>
      <c r="J76" s="590"/>
      <c r="K76" s="591"/>
      <c r="L76" s="174"/>
      <c r="M76" s="592"/>
      <c r="N76" s="593"/>
      <c r="O76" s="492"/>
      <c r="P76" s="492"/>
      <c r="Q76" s="492"/>
      <c r="R76" s="492"/>
      <c r="S76" s="492"/>
      <c r="T76" s="492"/>
      <c r="U76" s="492"/>
      <c r="V76" s="492"/>
      <c r="W76" s="492"/>
      <c r="X76" s="492"/>
      <c r="Y76" s="492"/>
      <c r="Z76" s="492"/>
      <c r="AA76" s="492"/>
      <c r="AB76" s="492"/>
      <c r="AC76" s="492"/>
      <c r="AD76" s="493"/>
      <c r="AE76" s="493"/>
      <c r="AF76" s="493"/>
      <c r="AG76" s="493"/>
      <c r="AH76" s="493"/>
      <c r="AI76" s="493"/>
      <c r="AJ76" s="493"/>
      <c r="AK76" s="493"/>
      <c r="AL76" s="493"/>
      <c r="AM76" s="493"/>
      <c r="AN76" s="493"/>
      <c r="AO76" s="493"/>
      <c r="AP76" s="493"/>
      <c r="AQ76" s="493"/>
      <c r="AR76" s="493"/>
      <c r="AS76" s="493"/>
      <c r="AT76" s="493"/>
      <c r="AU76" s="493"/>
      <c r="AV76" s="493"/>
      <c r="AW76" s="493"/>
      <c r="AX76" s="493"/>
      <c r="AY76" s="493"/>
      <c r="AZ76" s="493"/>
      <c r="BA76" s="493"/>
      <c r="BB76" s="493"/>
      <c r="BC76" s="493"/>
      <c r="BD76" s="493"/>
      <c r="BE76" s="493"/>
      <c r="BF76" s="493"/>
      <c r="BG76" s="493"/>
    </row>
    <row r="77" spans="1:59" ht="20.100000000000001" customHeight="1">
      <c r="A77" s="77"/>
      <c r="C77" s="78"/>
      <c r="D77" s="594" t="s">
        <v>179</v>
      </c>
      <c r="E77" s="595"/>
      <c r="F77" s="595"/>
      <c r="G77" s="595"/>
      <c r="H77" s="595"/>
      <c r="I77" s="595"/>
      <c r="J77" s="595"/>
      <c r="K77" s="596"/>
      <c r="L77" s="174" t="s">
        <v>105</v>
      </c>
      <c r="M77" s="597" t="str">
        <f>'driving mode datasheet'!M77</f>
        <v>2 de 3</v>
      </c>
      <c r="N77" s="593"/>
      <c r="O77" s="492"/>
      <c r="P77" s="492"/>
      <c r="Q77" s="492"/>
      <c r="R77" s="492"/>
      <c r="S77" s="492"/>
      <c r="T77" s="492"/>
      <c r="U77" s="492"/>
      <c r="V77" s="492"/>
      <c r="W77" s="492"/>
      <c r="X77" s="492"/>
      <c r="Y77" s="492"/>
      <c r="Z77" s="492"/>
      <c r="AA77" s="492"/>
      <c r="AB77" s="492"/>
      <c r="AC77" s="492"/>
      <c r="AD77" s="493"/>
      <c r="AE77" s="493"/>
      <c r="AF77" s="493"/>
      <c r="AG77" s="493"/>
      <c r="AH77" s="493"/>
      <c r="AI77" s="493"/>
      <c r="AJ77" s="493"/>
      <c r="AK77" s="493"/>
      <c r="AL77" s="493"/>
      <c r="AM77" s="493"/>
      <c r="AN77" s="493"/>
      <c r="AO77" s="493"/>
      <c r="AP77" s="493"/>
      <c r="AQ77" s="493"/>
      <c r="AR77" s="493"/>
      <c r="AS77" s="493"/>
      <c r="AT77" s="493"/>
      <c r="AU77" s="493"/>
      <c r="AV77" s="493"/>
      <c r="AW77" s="493"/>
      <c r="AX77" s="493"/>
      <c r="AY77" s="493"/>
      <c r="AZ77" s="493"/>
      <c r="BA77" s="493"/>
      <c r="BB77" s="493"/>
      <c r="BC77" s="493"/>
      <c r="BD77" s="493"/>
      <c r="BE77" s="493"/>
      <c r="BF77" s="493"/>
      <c r="BG77" s="493"/>
    </row>
    <row r="78" spans="1:59" ht="20.100000000000001" customHeight="1">
      <c r="A78" s="77"/>
      <c r="C78" s="78"/>
      <c r="D78" s="572" t="s">
        <v>180</v>
      </c>
      <c r="E78" s="573"/>
      <c r="F78" s="573"/>
      <c r="G78" s="573"/>
      <c r="H78" s="573"/>
      <c r="I78" s="573"/>
      <c r="J78" s="573"/>
      <c r="K78" s="574"/>
      <c r="L78" s="174" t="s">
        <v>13</v>
      </c>
      <c r="M78" s="575">
        <f>'driving mode datasheet'!M78</f>
        <v>45239</v>
      </c>
      <c r="N78" s="576"/>
      <c r="O78" s="492"/>
      <c r="P78" s="492"/>
      <c r="Q78" s="492"/>
      <c r="R78" s="492"/>
      <c r="S78" s="492"/>
      <c r="T78" s="492"/>
      <c r="U78" s="492"/>
      <c r="V78" s="492"/>
      <c r="W78" s="492"/>
      <c r="X78" s="492"/>
      <c r="Y78" s="492"/>
      <c r="Z78" s="492"/>
      <c r="AA78" s="492"/>
      <c r="AB78" s="492"/>
      <c r="AC78" s="492"/>
      <c r="AD78" s="493"/>
      <c r="AE78" s="493"/>
      <c r="AF78" s="493"/>
      <c r="AG78" s="493"/>
      <c r="AH78" s="493"/>
      <c r="AI78" s="493"/>
      <c r="AJ78" s="493"/>
      <c r="AK78" s="493"/>
      <c r="AL78" s="493"/>
      <c r="AM78" s="493"/>
      <c r="AN78" s="493"/>
      <c r="AO78" s="493"/>
      <c r="AP78" s="493"/>
      <c r="AQ78" s="493"/>
      <c r="AR78" s="493"/>
      <c r="AS78" s="493"/>
      <c r="AT78" s="493"/>
      <c r="AU78" s="493"/>
      <c r="AV78" s="493"/>
      <c r="AW78" s="493"/>
      <c r="AX78" s="493"/>
      <c r="AY78" s="493"/>
      <c r="AZ78" s="493"/>
      <c r="BA78" s="493"/>
      <c r="BB78" s="493"/>
      <c r="BC78" s="493"/>
      <c r="BD78" s="493"/>
      <c r="BE78" s="493"/>
      <c r="BF78" s="493"/>
      <c r="BG78" s="493"/>
    </row>
    <row r="79" spans="1:59" ht="20.100000000000001" customHeight="1" thickBot="1">
      <c r="A79" s="80"/>
      <c r="B79" s="81"/>
      <c r="C79" s="82"/>
      <c r="D79" s="175"/>
      <c r="E79" s="175"/>
      <c r="F79" s="175"/>
      <c r="G79" s="175"/>
      <c r="H79" s="175"/>
      <c r="I79" s="175"/>
      <c r="J79" s="176"/>
      <c r="K79" s="175"/>
      <c r="L79" s="177"/>
      <c r="M79" s="580"/>
      <c r="N79" s="581"/>
      <c r="O79" s="492"/>
      <c r="P79" s="492"/>
      <c r="Q79" s="492"/>
      <c r="R79" s="492"/>
      <c r="S79" s="492"/>
      <c r="T79" s="492"/>
      <c r="U79" s="492"/>
      <c r="V79" s="492"/>
      <c r="W79" s="492"/>
      <c r="X79" s="492"/>
      <c r="Y79" s="492"/>
      <c r="Z79" s="492"/>
      <c r="AA79" s="492"/>
      <c r="AB79" s="492"/>
      <c r="AC79" s="492"/>
      <c r="AD79" s="493"/>
      <c r="AE79" s="493"/>
      <c r="AF79" s="493"/>
      <c r="AG79" s="493"/>
      <c r="AH79" s="493"/>
      <c r="AI79" s="493"/>
      <c r="AJ79" s="493"/>
      <c r="AK79" s="493"/>
      <c r="AL79" s="493"/>
      <c r="AM79" s="493"/>
      <c r="AN79" s="493"/>
      <c r="AO79" s="493"/>
      <c r="AP79" s="493"/>
      <c r="AQ79" s="493"/>
      <c r="AR79" s="493"/>
      <c r="AS79" s="493"/>
      <c r="AT79" s="493"/>
      <c r="AU79" s="493"/>
      <c r="AV79" s="493"/>
      <c r="AW79" s="493"/>
      <c r="AX79" s="493"/>
      <c r="AY79" s="493"/>
      <c r="AZ79" s="493"/>
      <c r="BA79" s="493"/>
      <c r="BB79" s="493"/>
      <c r="BC79" s="493"/>
      <c r="BD79" s="493"/>
      <c r="BE79" s="493"/>
      <c r="BF79" s="493"/>
      <c r="BG79" s="493"/>
    </row>
    <row r="80" spans="1:59" ht="20.100000000000001" customHeight="1" thickBot="1">
      <c r="C80" s="76"/>
      <c r="D80" s="76"/>
      <c r="F80" s="76"/>
      <c r="I80" s="76"/>
      <c r="J80" s="76"/>
      <c r="L80" s="76"/>
      <c r="O80" s="517"/>
      <c r="P80" s="492"/>
      <c r="Q80" s="492"/>
      <c r="R80" s="492"/>
      <c r="S80" s="518"/>
      <c r="T80" s="492"/>
      <c r="U80" s="492"/>
      <c r="V80" s="492"/>
      <c r="W80" s="492"/>
      <c r="X80" s="492"/>
      <c r="Y80" s="492"/>
      <c r="Z80" s="492"/>
      <c r="AA80" s="492"/>
      <c r="AB80" s="492"/>
      <c r="AC80" s="492"/>
      <c r="AD80" s="493"/>
      <c r="AE80" s="493"/>
      <c r="AF80" s="493"/>
      <c r="AG80" s="493"/>
      <c r="AH80" s="493"/>
      <c r="AI80" s="493"/>
      <c r="AJ80" s="493"/>
      <c r="AK80" s="493"/>
      <c r="AL80" s="493"/>
      <c r="AM80" s="493"/>
      <c r="AN80" s="493"/>
      <c r="AO80" s="493"/>
      <c r="AP80" s="493"/>
      <c r="AQ80" s="493"/>
      <c r="AR80" s="493"/>
      <c r="AS80" s="493"/>
      <c r="AT80" s="493"/>
      <c r="AU80" s="493"/>
      <c r="AV80" s="493"/>
      <c r="AW80" s="493"/>
      <c r="AX80" s="493"/>
      <c r="AY80" s="493"/>
      <c r="AZ80" s="493"/>
      <c r="BA80" s="493"/>
      <c r="BB80" s="493"/>
      <c r="BC80" s="493"/>
      <c r="BD80" s="493"/>
      <c r="BE80" s="493"/>
      <c r="BF80" s="493"/>
      <c r="BG80" s="493"/>
    </row>
    <row r="81" spans="1:59" s="133" customFormat="1" ht="18" customHeight="1">
      <c r="A81" s="620" t="s">
        <v>69</v>
      </c>
      <c r="B81" s="621"/>
      <c r="C81" s="621"/>
      <c r="D81" s="621"/>
      <c r="E81" s="622" t="s">
        <v>70</v>
      </c>
      <c r="F81" s="601">
        <f>F21</f>
        <v>400</v>
      </c>
      <c r="G81" s="602"/>
      <c r="H81" s="620" t="s">
        <v>71</v>
      </c>
      <c r="I81" s="621"/>
      <c r="J81" s="621"/>
      <c r="K81" s="621"/>
      <c r="L81" s="622" t="s">
        <v>72</v>
      </c>
      <c r="M81" s="601">
        <f>M21</f>
        <v>400</v>
      </c>
      <c r="N81" s="602"/>
      <c r="O81" s="492"/>
      <c r="P81" s="492"/>
      <c r="Q81" s="605"/>
      <c r="R81" s="605"/>
      <c r="S81" s="605"/>
      <c r="T81" s="605"/>
      <c r="U81" s="492"/>
      <c r="V81" s="492"/>
      <c r="W81" s="605"/>
      <c r="X81" s="605"/>
      <c r="Y81" s="605"/>
      <c r="Z81" s="605"/>
      <c r="AA81" s="605"/>
      <c r="AB81" s="605"/>
      <c r="AC81" s="492"/>
      <c r="AD81" s="492"/>
      <c r="AE81" s="492"/>
      <c r="AF81" s="492"/>
      <c r="AG81" s="492"/>
      <c r="AH81" s="492"/>
      <c r="AI81" s="492"/>
      <c r="AJ81" s="492"/>
      <c r="AK81" s="492"/>
      <c r="AL81" s="497"/>
      <c r="AM81" s="497"/>
      <c r="AN81" s="497"/>
      <c r="AO81" s="498"/>
      <c r="AP81" s="497"/>
      <c r="AQ81" s="492"/>
      <c r="AR81" s="492"/>
      <c r="AS81" s="492"/>
      <c r="AT81" s="492"/>
      <c r="AU81" s="492"/>
      <c r="AV81" s="492"/>
      <c r="AW81" s="492"/>
      <c r="AX81" s="492"/>
      <c r="AY81" s="492"/>
      <c r="AZ81" s="492"/>
      <c r="BA81" s="492"/>
      <c r="BB81" s="492"/>
      <c r="BC81" s="492"/>
      <c r="BD81" s="492"/>
      <c r="BE81" s="492"/>
      <c r="BF81" s="492"/>
      <c r="BG81" s="492"/>
    </row>
    <row r="82" spans="1:59" s="133" customFormat="1" ht="18" customHeight="1" thickBot="1">
      <c r="A82" s="606" t="s">
        <v>73</v>
      </c>
      <c r="B82" s="607"/>
      <c r="C82" s="607"/>
      <c r="D82" s="607"/>
      <c r="E82" s="623"/>
      <c r="F82" s="603"/>
      <c r="G82" s="604"/>
      <c r="H82" s="606" t="s">
        <v>74</v>
      </c>
      <c r="I82" s="607"/>
      <c r="J82" s="607"/>
      <c r="K82" s="607"/>
      <c r="L82" s="623"/>
      <c r="M82" s="603"/>
      <c r="N82" s="604"/>
      <c r="O82" s="492"/>
      <c r="P82" s="492"/>
      <c r="Q82" s="608"/>
      <c r="R82" s="608"/>
      <c r="S82" s="608"/>
      <c r="T82" s="608"/>
      <c r="U82" s="492"/>
      <c r="V82" s="492"/>
      <c r="W82" s="608"/>
      <c r="X82" s="608"/>
      <c r="Y82" s="608"/>
      <c r="Z82" s="608"/>
      <c r="AA82" s="608"/>
      <c r="AB82" s="608"/>
      <c r="AC82" s="492"/>
      <c r="AD82" s="492"/>
      <c r="AE82" s="492"/>
      <c r="AF82" s="492"/>
      <c r="AG82" s="492"/>
      <c r="AH82" s="492"/>
      <c r="AI82" s="492"/>
      <c r="AJ82" s="492"/>
      <c r="AK82" s="492"/>
      <c r="AL82" s="497"/>
      <c r="AM82" s="497"/>
      <c r="AN82" s="497"/>
      <c r="AO82" s="498"/>
      <c r="AP82" s="497"/>
      <c r="AQ82" s="492"/>
      <c r="AR82" s="492"/>
      <c r="AS82" s="492"/>
      <c r="AT82" s="492"/>
      <c r="AU82" s="492"/>
      <c r="AV82" s="492"/>
      <c r="AW82" s="492"/>
      <c r="AX82" s="492"/>
      <c r="AY82" s="492"/>
      <c r="AZ82" s="492"/>
      <c r="BA82" s="492"/>
      <c r="BB82" s="492"/>
      <c r="BC82" s="492"/>
      <c r="BD82" s="492"/>
      <c r="BE82" s="492"/>
      <c r="BF82" s="492"/>
      <c r="BG82" s="492"/>
    </row>
    <row r="83" spans="1:59" s="133" customFormat="1" ht="18" customHeight="1" thickBot="1">
      <c r="B83" s="114"/>
      <c r="C83" s="114"/>
      <c r="D83" s="114"/>
      <c r="E83" s="114"/>
      <c r="F83" s="141" t="str">
        <f>IF(F81&gt;500," LA TENSIÓN DE BASE HA DE SER INFERIOR O IGUAL A 500 V"," ")</f>
        <v xml:space="preserve"> </v>
      </c>
      <c r="G83" s="178" t="str">
        <f>IF(M81&gt;500," LA TENSIÓN MÁXIMA HA DE SER INFERIOR O IGUAL A 500 V"," ")</f>
        <v xml:space="preserve"> </v>
      </c>
      <c r="I83" s="179"/>
      <c r="J83" s="114"/>
      <c r="K83" s="179"/>
      <c r="L83" s="179"/>
      <c r="N83" s="141" t="str">
        <f>IF(M81&lt;F81," LA TENSIÓN MÁXIMA HA DE SER SUPERIOR O IGUAL A LA DE BASE"," ")</f>
        <v xml:space="preserve"> </v>
      </c>
      <c r="O83" s="492"/>
      <c r="P83" s="492"/>
      <c r="Q83" s="492"/>
      <c r="R83" s="492"/>
      <c r="S83" s="492"/>
      <c r="T83" s="492"/>
      <c r="U83" s="492"/>
      <c r="V83" s="492"/>
      <c r="W83" s="492"/>
      <c r="X83" s="492"/>
      <c r="Y83" s="492"/>
      <c r="Z83" s="492"/>
      <c r="AA83" s="492"/>
      <c r="AB83" s="492"/>
      <c r="AC83" s="492"/>
      <c r="AD83" s="492"/>
      <c r="AE83" s="492"/>
      <c r="AF83" s="492"/>
      <c r="AG83" s="492"/>
      <c r="AH83" s="492"/>
      <c r="AI83" s="492"/>
      <c r="AJ83" s="492"/>
      <c r="AK83" s="492"/>
      <c r="AL83" s="497"/>
      <c r="AM83" s="497"/>
      <c r="AN83" s="498"/>
      <c r="AO83" s="497"/>
      <c r="AP83" s="492"/>
      <c r="AQ83" s="492"/>
      <c r="AR83" s="492"/>
      <c r="AS83" s="492"/>
      <c r="AT83" s="492"/>
      <c r="AU83" s="492"/>
      <c r="AV83" s="492"/>
      <c r="AW83" s="492"/>
      <c r="AX83" s="492"/>
      <c r="AY83" s="492"/>
      <c r="AZ83" s="492"/>
      <c r="BA83" s="492"/>
      <c r="BB83" s="492"/>
      <c r="BC83" s="492"/>
      <c r="BD83" s="492"/>
      <c r="BE83" s="492"/>
      <c r="BF83" s="492"/>
      <c r="BG83" s="492"/>
    </row>
    <row r="84" spans="1:59" s="133" customFormat="1" ht="18" customHeight="1">
      <c r="B84" s="609" t="s">
        <v>75</v>
      </c>
      <c r="C84" s="610"/>
      <c r="D84" s="610"/>
      <c r="E84" s="610"/>
      <c r="F84" s="613" t="str">
        <f>F24</f>
        <v>S1</v>
      </c>
      <c r="G84" s="139"/>
      <c r="H84" s="609" t="str">
        <f>H24</f>
        <v>Servicio / Service  S6 -</v>
      </c>
      <c r="I84" s="610"/>
      <c r="J84" s="610"/>
      <c r="K84" s="610"/>
      <c r="L84" s="615">
        <f>L24</f>
        <v>0.4</v>
      </c>
      <c r="M84" s="180"/>
      <c r="N84" s="141"/>
      <c r="O84" s="492"/>
      <c r="P84" s="492"/>
      <c r="Q84" s="492"/>
      <c r="R84" s="492"/>
      <c r="S84" s="492"/>
      <c r="T84" s="492"/>
      <c r="U84" s="492"/>
      <c r="V84" s="492"/>
      <c r="W84" s="492"/>
      <c r="X84" s="492"/>
      <c r="Y84" s="492"/>
      <c r="Z84" s="492"/>
      <c r="AA84" s="492"/>
      <c r="AB84" s="492"/>
      <c r="AC84" s="492"/>
      <c r="AD84" s="492"/>
      <c r="AE84" s="492"/>
      <c r="AF84" s="492"/>
      <c r="AG84" s="492"/>
      <c r="AH84" s="492"/>
      <c r="AI84" s="492"/>
      <c r="AJ84" s="492"/>
      <c r="AK84" s="492"/>
      <c r="AL84" s="497"/>
      <c r="AM84" s="497"/>
      <c r="AN84" s="498"/>
      <c r="AO84" s="497"/>
      <c r="AP84" s="492"/>
      <c r="AQ84" s="492"/>
      <c r="AR84" s="492"/>
      <c r="AS84" s="492"/>
      <c r="AT84" s="492"/>
      <c r="AU84" s="492"/>
      <c r="AV84" s="492"/>
      <c r="AW84" s="492"/>
      <c r="AX84" s="492"/>
      <c r="AY84" s="492"/>
      <c r="AZ84" s="492"/>
      <c r="BA84" s="492"/>
      <c r="BB84" s="492"/>
      <c r="BC84" s="492"/>
      <c r="BD84" s="492"/>
      <c r="BE84" s="492"/>
      <c r="BF84" s="492"/>
      <c r="BG84" s="492"/>
    </row>
    <row r="85" spans="1:59" s="133" customFormat="1" ht="18" customHeight="1" thickBot="1">
      <c r="A85" s="104"/>
      <c r="B85" s="611"/>
      <c r="C85" s="612"/>
      <c r="D85" s="612"/>
      <c r="E85" s="612"/>
      <c r="F85" s="614"/>
      <c r="G85" s="142"/>
      <c r="H85" s="611"/>
      <c r="I85" s="612"/>
      <c r="J85" s="612"/>
      <c r="K85" s="612">
        <f>H29</f>
        <v>803.34861720592698</v>
      </c>
      <c r="L85" s="616">
        <f>L29</f>
        <v>29.577341725471967</v>
      </c>
      <c r="M85" s="181"/>
      <c r="N85" s="84"/>
      <c r="O85" s="492"/>
      <c r="P85" s="492"/>
      <c r="Q85" s="492"/>
      <c r="R85" s="492"/>
      <c r="S85" s="492"/>
      <c r="T85" s="492"/>
      <c r="U85" s="492"/>
      <c r="V85" s="492"/>
      <c r="W85" s="492"/>
      <c r="X85" s="492"/>
      <c r="Y85" s="492"/>
      <c r="Z85" s="492"/>
      <c r="AA85" s="492"/>
      <c r="AB85" s="492"/>
      <c r="AC85" s="492"/>
      <c r="AD85" s="492"/>
      <c r="AE85" s="492"/>
      <c r="AF85" s="492"/>
      <c r="AG85" s="492"/>
      <c r="AH85" s="492"/>
      <c r="AI85" s="492"/>
      <c r="AJ85" s="492"/>
      <c r="AK85" s="492"/>
      <c r="AL85" s="497"/>
      <c r="AM85" s="498"/>
      <c r="AN85" s="497"/>
      <c r="AO85" s="492"/>
      <c r="AP85" s="492"/>
      <c r="AQ85" s="492"/>
      <c r="AR85" s="492"/>
      <c r="AS85" s="492"/>
      <c r="AT85" s="492"/>
      <c r="AU85" s="492"/>
      <c r="AV85" s="492"/>
      <c r="AW85" s="492"/>
      <c r="AX85" s="492"/>
      <c r="AY85" s="492"/>
      <c r="AZ85" s="492"/>
      <c r="BA85" s="492"/>
      <c r="BB85" s="492"/>
      <c r="BC85" s="492"/>
      <c r="BD85" s="492"/>
      <c r="BE85" s="492"/>
      <c r="BF85" s="492"/>
      <c r="BG85" s="492"/>
    </row>
    <row r="86" spans="1:59" s="133" customFormat="1" ht="105" customHeight="1" thickBot="1">
      <c r="A86" s="182" t="s">
        <v>226</v>
      </c>
      <c r="B86" s="145" t="s">
        <v>79</v>
      </c>
      <c r="C86" s="146" t="s">
        <v>80</v>
      </c>
      <c r="D86" s="145" t="s">
        <v>81</v>
      </c>
      <c r="E86" s="147" t="s">
        <v>82</v>
      </c>
      <c r="F86" s="148" t="s">
        <v>83</v>
      </c>
      <c r="G86" s="146" t="s">
        <v>84</v>
      </c>
      <c r="H86" s="148" t="s">
        <v>79</v>
      </c>
      <c r="I86" s="146" t="s">
        <v>85</v>
      </c>
      <c r="J86" s="145" t="s">
        <v>81</v>
      </c>
      <c r="K86" s="147" t="s">
        <v>82</v>
      </c>
      <c r="L86" s="148" t="s">
        <v>83</v>
      </c>
      <c r="M86" s="146" t="s">
        <v>84</v>
      </c>
      <c r="N86" s="149" t="s">
        <v>86</v>
      </c>
      <c r="O86" s="511" t="s">
        <v>87</v>
      </c>
      <c r="P86" s="511" t="s">
        <v>88</v>
      </c>
      <c r="Q86" s="511" t="s">
        <v>83</v>
      </c>
      <c r="R86" s="511" t="s">
        <v>82</v>
      </c>
      <c r="S86" s="511" t="s">
        <v>89</v>
      </c>
      <c r="T86" s="511"/>
      <c r="U86" s="511" t="s">
        <v>90</v>
      </c>
      <c r="V86" s="511" t="s">
        <v>91</v>
      </c>
      <c r="W86" s="511" t="s">
        <v>92</v>
      </c>
      <c r="X86" s="511" t="s">
        <v>93</v>
      </c>
      <c r="Y86" s="511" t="s">
        <v>94</v>
      </c>
      <c r="Z86" s="511" t="s">
        <v>95</v>
      </c>
      <c r="AA86" s="511" t="s">
        <v>96</v>
      </c>
      <c r="AB86" s="511" t="s">
        <v>97</v>
      </c>
      <c r="AC86" s="511" t="str">
        <f>AC26</f>
        <v>rpm lim s1</v>
      </c>
      <c r="AD86" s="511" t="str">
        <f>AD26</f>
        <v>Coef</v>
      </c>
      <c r="AE86" s="511"/>
      <c r="AF86" s="511"/>
      <c r="AG86" s="511"/>
      <c r="AH86" s="511"/>
      <c r="AI86" s="511"/>
      <c r="AJ86" s="511"/>
      <c r="AK86" s="511"/>
      <c r="AL86" s="511"/>
      <c r="AM86" s="511"/>
      <c r="AN86" s="511"/>
      <c r="AO86" s="511"/>
      <c r="AP86" s="511"/>
      <c r="AQ86" s="511"/>
      <c r="AR86" s="511"/>
      <c r="AS86" s="511"/>
      <c r="AT86" s="492"/>
      <c r="AU86" s="492"/>
      <c r="AV86" s="492"/>
      <c r="AW86" s="492"/>
      <c r="AX86" s="492"/>
      <c r="AY86" s="492"/>
      <c r="AZ86" s="492"/>
      <c r="BA86" s="492"/>
      <c r="BB86" s="492"/>
      <c r="BC86" s="492"/>
      <c r="BD86" s="492"/>
      <c r="BE86" s="492"/>
      <c r="BF86" s="492"/>
      <c r="BG86" s="492"/>
    </row>
    <row r="87" spans="1:59" s="101" customFormat="1" ht="24.95" customHeight="1" thickBot="1">
      <c r="A87" s="183" t="s">
        <v>241</v>
      </c>
      <c r="B87" s="184">
        <f>VLOOKUP($A$87,$A$27:$Y$40,2,FALSE)</f>
        <v>520</v>
      </c>
      <c r="C87" s="423">
        <f>VLOOKUP($A$87,$A$27:$Y$40,3,FALSE)</f>
        <v>219.3</v>
      </c>
      <c r="D87" s="424">
        <f>VLOOKUP($A$87,$A$27:$Y$40,4,FALSE)</f>
        <v>127.20518093895312</v>
      </c>
      <c r="E87" s="186">
        <f>VLOOKUP($A$87,$A$27:$Y$40,5,FALSE)</f>
        <v>2336</v>
      </c>
      <c r="F87" s="187">
        <f>VLOOKUP($A$87,$A$27:$Y$40,6,FALSE)</f>
        <v>77</v>
      </c>
      <c r="G87" s="185">
        <f>VLOOKUP($A$87,$A$27:$Y$40,7,FALSE)</f>
        <v>6500</v>
      </c>
      <c r="H87" s="184">
        <f>VLOOKUP($A$87,$A$27:$Y$40,8,FALSE)</f>
        <v>773.24180476340916</v>
      </c>
      <c r="I87" s="423">
        <f>VLOOKUP($A$87,$A$27:$Y$40,9,FALSE)</f>
        <v>313.86599449446578</v>
      </c>
      <c r="J87" s="424">
        <f>VLOOKUP($A$87,$A$27:$Y$40,10,FALSE)</f>
        <v>189.15454554710024</v>
      </c>
      <c r="K87" s="186">
        <f>VLOOKUP($A$87,$A$27:$Y$40,11,FALSE)</f>
        <v>2336</v>
      </c>
      <c r="L87" s="187">
        <f>VLOOKUP($A$87,$A$27:$Y$40,12,FALSE)</f>
        <v>76.57793032539432</v>
      </c>
      <c r="M87" s="185">
        <f>VLOOKUP($A$87,$A$27:$Y$40,13,FALSE)</f>
        <v>4759.6534021018733</v>
      </c>
      <c r="N87" s="425">
        <f>VLOOKUP($A$87,$A$27:$Y$40,14,FALSE)</f>
        <v>80.400000000000006</v>
      </c>
      <c r="O87" s="519">
        <f>VLOOKUP($A$87,$A$27:$Y$40,15,FALSE)</f>
        <v>0.95830956782695731</v>
      </c>
      <c r="P87" s="519">
        <f>VLOOKUP($A$87,$A$27:$Y$40,16,FALSE)</f>
        <v>0.80232693811754197</v>
      </c>
      <c r="Q87" s="514">
        <f>VLOOKUP($A$87,$A$27:$Y$40,17,FALSE)</f>
        <v>77</v>
      </c>
      <c r="R87" s="514">
        <f>VLOOKUP($A$87,$A$27:$Y$40,18,FALSE)</f>
        <v>2336</v>
      </c>
      <c r="S87" s="515">
        <f>VLOOKUP($A$87,$A$27:$Y$40,19,FALSE)</f>
        <v>-26</v>
      </c>
      <c r="T87" s="514"/>
      <c r="U87" s="515">
        <f>VLOOKUP($A$87,$A$27:$Y$40,21,FALSE)</f>
        <v>773.24180476340916</v>
      </c>
      <c r="V87" s="515">
        <f>VLOOKUP($A$87,$A$27:$Y$40,22,FALSE)</f>
        <v>313.86599449446578</v>
      </c>
      <c r="W87" s="514">
        <f>VLOOKUP($A$87,$A$27:$Y$40,23,FALSE)</f>
        <v>806.18512757582744</v>
      </c>
      <c r="X87" s="514">
        <f>VLOOKUP($A$87,$A$27:$Y$40,24,FALSE)</f>
        <v>2044.434035729915</v>
      </c>
      <c r="Y87" s="515">
        <f>VLOOKUP($A$87,$A$27:$Y$40,25,FALSE)</f>
        <v>1920.781115106123</v>
      </c>
      <c r="Z87" s="515">
        <f>VLOOKUP($A$87,$A$27:$AD$40,26,FALSE)</f>
        <v>411.22508362211084</v>
      </c>
      <c r="AA87" s="515">
        <f>VLOOKUP($A$87,$A$27:$AD$40,27,FALSE)</f>
        <v>4759.6534021018733</v>
      </c>
      <c r="AB87" s="515">
        <f>VLOOKUP($A$87,$A$27:$AD$40,28,FALSE)</f>
        <v>3212.1844260690118</v>
      </c>
      <c r="AC87" s="515">
        <f>VLOOKUP($A$87,$A$27:$AD$40,29,FALSE)</f>
        <v>7767.945515217808</v>
      </c>
      <c r="AD87" s="513">
        <f>VLOOKUP($A$87,$A$27:$AD$40,30,FALSE)</f>
        <v>0.81</v>
      </c>
      <c r="AE87" s="494"/>
      <c r="AF87" s="494"/>
      <c r="AG87" s="494"/>
      <c r="AH87" s="494"/>
      <c r="AI87" s="494"/>
      <c r="AJ87" s="494"/>
      <c r="AK87" s="494"/>
      <c r="AL87" s="494"/>
      <c r="AM87" s="494"/>
      <c r="AN87" s="494"/>
      <c r="AO87" s="494"/>
      <c r="AP87" s="494"/>
      <c r="AQ87" s="494"/>
      <c r="AR87" s="494"/>
      <c r="AS87" s="494"/>
      <c r="AT87" s="494"/>
      <c r="AU87" s="494"/>
      <c r="AV87" s="494"/>
      <c r="AW87" s="494"/>
      <c r="AX87" s="494"/>
      <c r="AY87" s="494"/>
      <c r="AZ87" s="494"/>
      <c r="BA87" s="494"/>
      <c r="BB87" s="494"/>
      <c r="BC87" s="494"/>
      <c r="BD87" s="494"/>
      <c r="BE87" s="494"/>
      <c r="BF87" s="494"/>
      <c r="BG87" s="494"/>
    </row>
    <row r="88" spans="1:59" ht="19.5" customHeight="1" thickBot="1">
      <c r="A88" s="188" t="str">
        <f>IF(O87=0,"ESTE BOBINADO NO EXISTE   /   THIS WINDING DOESN'T EXIST","")</f>
        <v/>
      </c>
      <c r="B88" s="189"/>
      <c r="C88" s="189"/>
      <c r="D88" s="189"/>
      <c r="E88" s="189"/>
      <c r="F88" s="189"/>
      <c r="G88" s="189"/>
      <c r="H88" s="189"/>
      <c r="I88" s="189"/>
      <c r="J88" s="189"/>
      <c r="K88" s="189"/>
      <c r="L88" s="189"/>
      <c r="M88" s="189"/>
      <c r="N88" s="189"/>
      <c r="O88" s="520"/>
      <c r="P88" s="521"/>
      <c r="Q88" s="521"/>
      <c r="R88" s="499"/>
      <c r="S88" s="522"/>
      <c r="T88" s="492"/>
      <c r="U88" s="497"/>
      <c r="V88" s="497"/>
      <c r="W88" s="497"/>
      <c r="X88" s="492"/>
      <c r="Y88" s="492"/>
      <c r="Z88" s="492"/>
      <c r="AA88" s="492"/>
      <c r="AB88" s="492"/>
      <c r="AC88" s="492"/>
      <c r="AD88" s="492"/>
      <c r="AE88" s="492"/>
      <c r="AF88" s="492"/>
      <c r="AG88" s="492"/>
      <c r="AH88" s="493"/>
      <c r="AI88" s="493"/>
      <c r="AJ88" s="493"/>
      <c r="AK88" s="493"/>
      <c r="AL88" s="493"/>
      <c r="AM88" s="493"/>
      <c r="AN88" s="493"/>
      <c r="AO88" s="493"/>
      <c r="AP88" s="493"/>
      <c r="AQ88" s="493"/>
      <c r="AR88" s="493"/>
      <c r="AS88" s="493"/>
      <c r="AT88" s="493"/>
      <c r="AU88" s="493"/>
      <c r="AV88" s="493"/>
      <c r="AW88" s="493"/>
      <c r="AX88" s="493"/>
      <c r="AY88" s="493"/>
      <c r="AZ88" s="493"/>
      <c r="BA88" s="493"/>
      <c r="BB88" s="493"/>
      <c r="BC88" s="493"/>
      <c r="BD88" s="493"/>
      <c r="BE88" s="493"/>
      <c r="BF88" s="493"/>
      <c r="BG88" s="493"/>
    </row>
    <row r="89" spans="1:59" ht="15" customHeight="1">
      <c r="A89" s="696" t="s">
        <v>108</v>
      </c>
      <c r="B89" s="697"/>
      <c r="C89" s="698"/>
      <c r="D89" s="189"/>
      <c r="E89" s="189"/>
      <c r="F89" s="189"/>
      <c r="G89" s="189"/>
      <c r="H89" s="189"/>
      <c r="I89" s="189"/>
      <c r="J89" s="189"/>
      <c r="K89" s="189"/>
      <c r="L89" s="189"/>
      <c r="M89" s="189"/>
      <c r="N89" s="189"/>
      <c r="O89" s="501"/>
      <c r="P89" s="521"/>
      <c r="Q89" s="521"/>
      <c r="R89" s="521"/>
      <c r="S89" s="522"/>
      <c r="T89" s="492"/>
      <c r="U89" s="497"/>
      <c r="V89" s="497"/>
      <c r="W89" s="497"/>
      <c r="X89" s="492"/>
      <c r="Y89" s="492"/>
      <c r="Z89" s="492"/>
      <c r="AA89" s="492"/>
      <c r="AB89" s="492"/>
      <c r="AC89" s="492"/>
      <c r="AD89" s="493"/>
      <c r="AE89" s="493"/>
      <c r="AF89" s="493"/>
      <c r="AG89" s="493"/>
      <c r="AH89" s="493"/>
      <c r="AI89" s="493"/>
      <c r="AJ89" s="493"/>
      <c r="AK89" s="493"/>
      <c r="AL89" s="493"/>
      <c r="AM89" s="493"/>
      <c r="AN89" s="493"/>
      <c r="AO89" s="493"/>
      <c r="AP89" s="493"/>
      <c r="AQ89" s="493"/>
      <c r="AR89" s="493"/>
      <c r="AS89" s="493"/>
      <c r="AT89" s="493"/>
      <c r="AU89" s="493"/>
      <c r="AV89" s="493"/>
      <c r="AW89" s="493"/>
      <c r="AX89" s="493"/>
      <c r="AY89" s="493"/>
      <c r="AZ89" s="493"/>
      <c r="BA89" s="493"/>
      <c r="BB89" s="493"/>
      <c r="BC89" s="493"/>
      <c r="BD89" s="493"/>
      <c r="BE89" s="493"/>
      <c r="BF89" s="493"/>
      <c r="BG89" s="493"/>
    </row>
    <row r="90" spans="1:59" ht="15" customHeight="1" thickBot="1">
      <c r="A90" s="699"/>
      <c r="B90" s="700"/>
      <c r="C90" s="701"/>
      <c r="D90" s="189"/>
      <c r="E90" s="189"/>
      <c r="F90" s="189"/>
      <c r="G90" s="189"/>
      <c r="H90" s="189"/>
      <c r="I90" s="189"/>
      <c r="J90" s="189"/>
      <c r="K90" s="189"/>
      <c r="L90" s="189"/>
      <c r="M90" s="189"/>
      <c r="N90" s="189"/>
      <c r="O90" s="523"/>
      <c r="P90" s="524"/>
      <c r="Q90" s="524"/>
      <c r="R90" s="525"/>
      <c r="S90" s="522"/>
      <c r="T90" s="492"/>
      <c r="U90" s="497"/>
      <c r="V90" s="497"/>
      <c r="W90" s="497"/>
      <c r="X90" s="492"/>
      <c r="Y90" s="492"/>
      <c r="Z90" s="492"/>
      <c r="AA90" s="492"/>
      <c r="AB90" s="492"/>
      <c r="AC90" s="492"/>
      <c r="AD90" s="493"/>
      <c r="AE90" s="493"/>
      <c r="AF90" s="493"/>
      <c r="AG90" s="493"/>
      <c r="AH90" s="493"/>
      <c r="AI90" s="493"/>
      <c r="AJ90" s="493"/>
      <c r="AK90" s="493"/>
      <c r="AL90" s="493"/>
      <c r="AM90" s="493"/>
      <c r="AN90" s="493"/>
      <c r="AO90" s="493"/>
      <c r="AP90" s="493"/>
      <c r="AQ90" s="493"/>
      <c r="AR90" s="493"/>
      <c r="AS90" s="493"/>
      <c r="AT90" s="493"/>
      <c r="AU90" s="493"/>
      <c r="AV90" s="493"/>
      <c r="AW90" s="493"/>
      <c r="AX90" s="493"/>
      <c r="AY90" s="493"/>
      <c r="AZ90" s="493"/>
      <c r="BA90" s="493"/>
      <c r="BB90" s="493"/>
      <c r="BC90" s="493"/>
      <c r="BD90" s="493"/>
      <c r="BE90" s="493"/>
      <c r="BF90" s="493"/>
      <c r="BG90" s="493"/>
    </row>
    <row r="91" spans="1:59" ht="15" customHeight="1" thickBot="1">
      <c r="A91" s="359" t="s">
        <v>82</v>
      </c>
      <c r="B91" s="359" t="s">
        <v>109</v>
      </c>
      <c r="C91" s="359" t="s">
        <v>110</v>
      </c>
      <c r="D91" s="189"/>
      <c r="E91" s="189"/>
      <c r="F91" s="189"/>
      <c r="G91" s="189"/>
      <c r="H91" s="189"/>
      <c r="I91" s="189"/>
      <c r="J91" s="189"/>
      <c r="K91" s="189"/>
      <c r="L91" s="189"/>
      <c r="M91" s="189"/>
      <c r="N91" s="189"/>
      <c r="O91" s="523"/>
      <c r="P91" s="520"/>
      <c r="Q91" s="520"/>
      <c r="R91" s="526"/>
      <c r="S91" s="522"/>
      <c r="T91" s="492"/>
      <c r="U91" s="497"/>
      <c r="V91" s="497"/>
      <c r="W91" s="497"/>
      <c r="X91" s="492"/>
      <c r="Y91" s="492"/>
      <c r="Z91" s="492"/>
      <c r="AA91" s="492"/>
      <c r="AB91" s="492"/>
      <c r="AC91" s="492"/>
      <c r="AD91" s="493"/>
      <c r="AE91" s="493"/>
      <c r="AF91" s="493"/>
      <c r="AG91" s="493"/>
      <c r="AH91" s="493"/>
      <c r="AI91" s="493"/>
      <c r="AJ91" s="493"/>
      <c r="AK91" s="493"/>
      <c r="AL91" s="493"/>
      <c r="AM91" s="493"/>
      <c r="AN91" s="493"/>
      <c r="AO91" s="493"/>
      <c r="AP91" s="493"/>
      <c r="AQ91" s="493"/>
      <c r="AR91" s="493"/>
      <c r="AS91" s="493"/>
      <c r="AT91" s="493"/>
      <c r="AU91" s="493"/>
      <c r="AV91" s="493"/>
      <c r="AW91" s="493"/>
      <c r="AX91" s="493"/>
      <c r="AY91" s="493"/>
      <c r="AZ91" s="493"/>
      <c r="BA91" s="493"/>
      <c r="BB91" s="493"/>
      <c r="BC91" s="493"/>
      <c r="BD91" s="493"/>
      <c r="BE91" s="493"/>
      <c r="BF91" s="493"/>
      <c r="BG91" s="493"/>
    </row>
    <row r="92" spans="1:59" ht="15" customHeight="1">
      <c r="A92" s="360"/>
      <c r="B92" s="361"/>
      <c r="C92" s="362"/>
      <c r="D92" s="189"/>
      <c r="E92" s="189"/>
      <c r="F92" s="189"/>
      <c r="G92" s="189"/>
      <c r="H92" s="189"/>
      <c r="I92" s="189"/>
      <c r="J92" s="189"/>
      <c r="K92" s="189"/>
      <c r="L92" s="189"/>
      <c r="M92" s="189"/>
      <c r="N92" s="189"/>
      <c r="O92" s="523"/>
      <c r="P92" s="520"/>
      <c r="Q92" s="520"/>
      <c r="R92" s="526"/>
      <c r="S92" s="522"/>
      <c r="T92" s="492"/>
      <c r="U92" s="497"/>
      <c r="V92" s="497"/>
      <c r="W92" s="497"/>
      <c r="X92" s="492"/>
      <c r="Y92" s="492"/>
      <c r="Z92" s="492"/>
      <c r="AA92" s="492"/>
      <c r="AB92" s="492"/>
      <c r="AC92" s="492"/>
      <c r="AD92" s="493"/>
      <c r="AE92" s="493"/>
      <c r="AF92" s="493"/>
      <c r="AG92" s="493"/>
      <c r="AH92" s="493"/>
      <c r="AI92" s="493"/>
      <c r="AJ92" s="493"/>
      <c r="AK92" s="493"/>
      <c r="AL92" s="493"/>
      <c r="AM92" s="493"/>
      <c r="AN92" s="493"/>
      <c r="AO92" s="493"/>
      <c r="AP92" s="493"/>
      <c r="AQ92" s="493"/>
      <c r="AR92" s="493"/>
      <c r="AS92" s="493"/>
      <c r="AT92" s="493"/>
      <c r="AU92" s="493"/>
      <c r="AV92" s="493"/>
      <c r="AW92" s="493"/>
      <c r="AX92" s="493"/>
      <c r="AY92" s="493"/>
      <c r="AZ92" s="493"/>
      <c r="BA92" s="493"/>
      <c r="BB92" s="493"/>
      <c r="BC92" s="493"/>
      <c r="BD92" s="493"/>
      <c r="BE92" s="493"/>
      <c r="BF92" s="493"/>
      <c r="BG92" s="493"/>
    </row>
    <row r="93" spans="1:59" ht="15" customHeight="1">
      <c r="A93" s="363"/>
      <c r="B93" s="364"/>
      <c r="C93" s="365"/>
      <c r="D93" s="189"/>
      <c r="E93" s="189"/>
      <c r="F93" s="189"/>
      <c r="G93" s="189"/>
      <c r="H93" s="189"/>
      <c r="I93" s="189"/>
      <c r="J93" s="189"/>
      <c r="K93" s="189"/>
      <c r="L93" s="189"/>
      <c r="M93" s="189"/>
      <c r="N93" s="189"/>
      <c r="O93" s="523"/>
      <c r="P93" s="520"/>
      <c r="Q93" s="520"/>
      <c r="R93" s="525"/>
      <c r="S93" s="522"/>
      <c r="T93" s="492"/>
      <c r="U93" s="497"/>
      <c r="V93" s="497"/>
      <c r="W93" s="497"/>
      <c r="X93" s="492"/>
      <c r="Y93" s="492"/>
      <c r="Z93" s="492"/>
      <c r="AA93" s="492"/>
      <c r="AB93" s="492"/>
      <c r="AC93" s="492"/>
      <c r="AD93" s="493"/>
      <c r="AE93" s="493"/>
      <c r="AF93" s="493"/>
      <c r="AG93" s="493"/>
      <c r="AH93" s="493"/>
      <c r="AI93" s="493"/>
      <c r="AJ93" s="493"/>
      <c r="AK93" s="493"/>
      <c r="AL93" s="493"/>
      <c r="AM93" s="493"/>
      <c r="AN93" s="493"/>
      <c r="AO93" s="493"/>
      <c r="AP93" s="493"/>
      <c r="AQ93" s="493"/>
      <c r="AR93" s="493"/>
      <c r="AS93" s="493"/>
      <c r="AT93" s="493"/>
      <c r="AU93" s="493"/>
      <c r="AV93" s="493"/>
      <c r="AW93" s="493"/>
      <c r="AX93" s="493"/>
      <c r="AY93" s="493"/>
      <c r="AZ93" s="493"/>
      <c r="BA93" s="493"/>
      <c r="BB93" s="493"/>
      <c r="BC93" s="493"/>
      <c r="BD93" s="493"/>
      <c r="BE93" s="493"/>
      <c r="BF93" s="493"/>
      <c r="BG93" s="493"/>
    </row>
    <row r="94" spans="1:59" ht="15" customHeight="1">
      <c r="A94" s="363"/>
      <c r="B94" s="364"/>
      <c r="C94" s="365"/>
      <c r="D94" s="189"/>
      <c r="E94" s="189"/>
      <c r="F94" s="189"/>
      <c r="G94" s="189"/>
      <c r="H94" s="189"/>
      <c r="I94" s="189"/>
      <c r="J94" s="189"/>
      <c r="K94" s="189"/>
      <c r="L94" s="189"/>
      <c r="M94" s="189"/>
      <c r="O94" s="523"/>
      <c r="P94" s="524"/>
      <c r="Q94" s="527"/>
      <c r="R94" s="528"/>
      <c r="S94" s="522"/>
      <c r="T94" s="492"/>
      <c r="U94" s="497"/>
      <c r="V94" s="497"/>
      <c r="W94" s="500"/>
      <c r="X94" s="492"/>
      <c r="Y94" s="492"/>
      <c r="Z94" s="492"/>
      <c r="AA94" s="492"/>
      <c r="AB94" s="492"/>
      <c r="AC94" s="492"/>
      <c r="AD94" s="493"/>
      <c r="AE94" s="493"/>
      <c r="AF94" s="493"/>
      <c r="AG94" s="493"/>
      <c r="AH94" s="493"/>
      <c r="AI94" s="493"/>
      <c r="AJ94" s="493"/>
      <c r="AK94" s="493"/>
      <c r="AL94" s="493"/>
      <c r="AM94" s="493"/>
      <c r="AN94" s="493"/>
      <c r="AO94" s="493"/>
      <c r="AP94" s="493"/>
      <c r="AQ94" s="493"/>
      <c r="AR94" s="493"/>
      <c r="AS94" s="493"/>
      <c r="AT94" s="493"/>
      <c r="AU94" s="493"/>
      <c r="AV94" s="493"/>
      <c r="AW94" s="493"/>
      <c r="AX94" s="493"/>
      <c r="AY94" s="493"/>
      <c r="AZ94" s="493"/>
      <c r="BA94" s="493"/>
      <c r="BB94" s="493"/>
      <c r="BC94" s="493"/>
      <c r="BD94" s="493"/>
      <c r="BE94" s="493"/>
      <c r="BF94" s="493"/>
      <c r="BG94" s="493"/>
    </row>
    <row r="95" spans="1:59" ht="15" customHeight="1">
      <c r="A95" s="363"/>
      <c r="B95" s="364"/>
      <c r="C95" s="365"/>
      <c r="D95" s="76"/>
      <c r="F95" s="76"/>
      <c r="I95" s="76"/>
      <c r="J95" s="76"/>
      <c r="L95" s="76"/>
      <c r="N95" s="190"/>
      <c r="O95" s="523"/>
      <c r="P95" s="527"/>
      <c r="Q95" s="528"/>
      <c r="R95" s="528"/>
      <c r="S95" s="522"/>
      <c r="T95" s="492"/>
      <c r="U95" s="497"/>
      <c r="V95" s="497"/>
      <c r="W95" s="497"/>
      <c r="X95" s="492"/>
      <c r="Y95" s="492"/>
      <c r="Z95" s="492"/>
      <c r="AA95" s="492"/>
      <c r="AB95" s="492"/>
      <c r="AC95" s="492"/>
      <c r="AD95" s="493"/>
      <c r="AE95" s="493"/>
      <c r="AF95" s="493"/>
      <c r="AG95" s="493"/>
      <c r="AH95" s="493"/>
      <c r="AI95" s="493"/>
      <c r="AJ95" s="493"/>
      <c r="AK95" s="493"/>
      <c r="AL95" s="493"/>
      <c r="AM95" s="493"/>
      <c r="AN95" s="493"/>
      <c r="AO95" s="493"/>
      <c r="AP95" s="493"/>
      <c r="AQ95" s="493"/>
      <c r="AR95" s="493"/>
      <c r="AS95" s="493"/>
      <c r="AT95" s="493"/>
      <c r="AU95" s="493"/>
      <c r="AV95" s="493"/>
      <c r="AW95" s="493"/>
      <c r="AX95" s="493"/>
      <c r="AY95" s="493"/>
      <c r="AZ95" s="493"/>
      <c r="BA95" s="493"/>
      <c r="BB95" s="493"/>
      <c r="BC95" s="493"/>
      <c r="BD95" s="493"/>
      <c r="BE95" s="493"/>
      <c r="BF95" s="493"/>
      <c r="BG95" s="493"/>
    </row>
    <row r="96" spans="1:59" ht="15" customHeight="1">
      <c r="A96" s="363"/>
      <c r="B96" s="364"/>
      <c r="C96" s="365"/>
      <c r="D96" s="190"/>
      <c r="E96" s="190"/>
      <c r="F96" s="190"/>
      <c r="G96" s="190"/>
      <c r="H96" s="190"/>
      <c r="I96" s="190"/>
      <c r="J96" s="190"/>
      <c r="K96" s="190"/>
      <c r="L96" s="190"/>
      <c r="M96" s="190"/>
      <c r="O96" s="523"/>
      <c r="P96" s="520"/>
      <c r="Q96" s="525"/>
      <c r="R96" s="517"/>
      <c r="S96" s="522"/>
      <c r="T96" s="492"/>
      <c r="U96" s="492"/>
      <c r="V96" s="492"/>
      <c r="W96" s="497"/>
      <c r="X96" s="492"/>
      <c r="Y96" s="492"/>
      <c r="Z96" s="492"/>
      <c r="AA96" s="492"/>
      <c r="AB96" s="492"/>
      <c r="AC96" s="492"/>
      <c r="AD96" s="493"/>
      <c r="AE96" s="493"/>
      <c r="AF96" s="493"/>
      <c r="AG96" s="493"/>
      <c r="AH96" s="493"/>
      <c r="AI96" s="493"/>
      <c r="AJ96" s="493"/>
      <c r="AK96" s="493"/>
      <c r="AL96" s="493"/>
      <c r="AM96" s="493"/>
      <c r="AN96" s="493"/>
      <c r="AO96" s="493"/>
      <c r="AP96" s="493"/>
      <c r="AQ96" s="493"/>
      <c r="AR96" s="493"/>
      <c r="AS96" s="493"/>
      <c r="AT96" s="493"/>
      <c r="AU96" s="493"/>
      <c r="AV96" s="493"/>
      <c r="AW96" s="493"/>
      <c r="AX96" s="493"/>
      <c r="AY96" s="493"/>
      <c r="AZ96" s="493"/>
      <c r="BA96" s="493"/>
      <c r="BB96" s="493"/>
      <c r="BC96" s="493"/>
      <c r="BD96" s="493"/>
      <c r="BE96" s="493"/>
      <c r="BF96" s="493"/>
      <c r="BG96" s="493"/>
    </row>
    <row r="97" spans="1:59" ht="15" customHeight="1">
      <c r="A97" s="363"/>
      <c r="B97" s="364"/>
      <c r="C97" s="365"/>
      <c r="D97" s="76"/>
      <c r="F97" s="76"/>
      <c r="I97" s="76"/>
      <c r="J97" s="76"/>
      <c r="L97" s="76"/>
      <c r="O97" s="529"/>
      <c r="P97" s="528"/>
      <c r="Q97" s="523"/>
      <c r="R97" s="530"/>
      <c r="S97" s="492"/>
      <c r="T97" s="492"/>
      <c r="U97" s="492"/>
      <c r="V97" s="492"/>
      <c r="W97" s="497"/>
      <c r="X97" s="492"/>
      <c r="Y97" s="492"/>
      <c r="Z97" s="492"/>
      <c r="AA97" s="492"/>
      <c r="AB97" s="492"/>
      <c r="AC97" s="492"/>
      <c r="AD97" s="493"/>
      <c r="AE97" s="493"/>
      <c r="AF97" s="493"/>
      <c r="AG97" s="493"/>
      <c r="AH97" s="493"/>
      <c r="AI97" s="493"/>
      <c r="AJ97" s="493"/>
      <c r="AK97" s="493"/>
      <c r="AL97" s="493"/>
      <c r="AM97" s="493"/>
      <c r="AN97" s="493"/>
      <c r="AO97" s="493"/>
      <c r="AP97" s="493"/>
      <c r="AQ97" s="493"/>
      <c r="AR97" s="493"/>
      <c r="AS97" s="493"/>
      <c r="AT97" s="493"/>
      <c r="AU97" s="493"/>
      <c r="AV97" s="493"/>
      <c r="AW97" s="493"/>
      <c r="AX97" s="493"/>
      <c r="AY97" s="493"/>
      <c r="AZ97" s="493"/>
      <c r="BA97" s="493"/>
      <c r="BB97" s="493"/>
      <c r="BC97" s="493"/>
      <c r="BD97" s="493"/>
      <c r="BE97" s="493"/>
      <c r="BF97" s="493"/>
      <c r="BG97" s="493"/>
    </row>
    <row r="98" spans="1:59" ht="15" customHeight="1">
      <c r="A98" s="363"/>
      <c r="B98" s="364"/>
      <c r="C98" s="365"/>
      <c r="D98" s="76"/>
      <c r="F98" s="76"/>
      <c r="I98" s="76"/>
      <c r="J98" s="76"/>
      <c r="L98" s="76"/>
      <c r="O98" s="520"/>
      <c r="P98" s="520"/>
      <c r="Q98" s="524"/>
      <c r="R98" s="494"/>
      <c r="S98" s="504"/>
      <c r="T98" s="518"/>
      <c r="U98" s="494"/>
      <c r="V98" s="494"/>
      <c r="W98" s="497"/>
      <c r="X98" s="492"/>
      <c r="Y98" s="492"/>
      <c r="Z98" s="492"/>
      <c r="AA98" s="492"/>
      <c r="AB98" s="492"/>
      <c r="AC98" s="492"/>
      <c r="AD98" s="493"/>
      <c r="AE98" s="493"/>
      <c r="AF98" s="493"/>
      <c r="AG98" s="493"/>
      <c r="AH98" s="493"/>
      <c r="AI98" s="493"/>
      <c r="AJ98" s="493"/>
      <c r="AK98" s="493"/>
      <c r="AL98" s="493"/>
      <c r="AM98" s="493"/>
      <c r="AN98" s="493"/>
      <c r="AO98" s="493"/>
      <c r="AP98" s="493"/>
      <c r="AQ98" s="493"/>
      <c r="AR98" s="493"/>
      <c r="AS98" s="493"/>
      <c r="AT98" s="493"/>
      <c r="AU98" s="493"/>
      <c r="AV98" s="493"/>
      <c r="AW98" s="493"/>
      <c r="AX98" s="493"/>
      <c r="AY98" s="493"/>
      <c r="AZ98" s="493"/>
      <c r="BA98" s="493"/>
      <c r="BB98" s="493"/>
      <c r="BC98" s="493"/>
      <c r="BD98" s="493"/>
      <c r="BE98" s="493"/>
      <c r="BF98" s="493"/>
      <c r="BG98" s="493"/>
    </row>
    <row r="99" spans="1:59" ht="15" customHeight="1">
      <c r="A99" s="363"/>
      <c r="B99" s="364"/>
      <c r="C99" s="365"/>
      <c r="D99" s="76"/>
      <c r="F99" s="76"/>
      <c r="I99" s="76"/>
      <c r="J99" s="76"/>
      <c r="L99" s="76"/>
      <c r="O99" s="492"/>
      <c r="P99" s="492" t="s">
        <v>111</v>
      </c>
      <c r="Q99" s="492" t="s">
        <v>265</v>
      </c>
      <c r="R99" s="492" t="s">
        <v>112</v>
      </c>
      <c r="S99" s="492" t="s">
        <v>113</v>
      </c>
      <c r="T99" s="492" t="s">
        <v>114</v>
      </c>
      <c r="U99" s="492" t="s">
        <v>90</v>
      </c>
      <c r="V99" s="492" t="s">
        <v>115</v>
      </c>
      <c r="W99" s="529" t="s">
        <v>116</v>
      </c>
      <c r="X99" s="492" t="s">
        <v>117</v>
      </c>
      <c r="Y99" s="492"/>
      <c r="Z99" s="492"/>
      <c r="AA99" s="492"/>
      <c r="AB99" s="492"/>
      <c r="AC99" s="492"/>
      <c r="AD99" s="493"/>
      <c r="AE99" s="493"/>
      <c r="AF99" s="493"/>
      <c r="AG99" s="493"/>
      <c r="AH99" s="493"/>
      <c r="AI99" s="493"/>
      <c r="AJ99" s="493"/>
      <c r="AK99" s="493"/>
      <c r="AL99" s="493"/>
      <c r="AM99" s="493"/>
      <c r="AN99" s="493"/>
      <c r="AO99" s="493"/>
      <c r="AP99" s="493"/>
      <c r="AQ99" s="493"/>
      <c r="AR99" s="493"/>
      <c r="AS99" s="493"/>
      <c r="AT99" s="493"/>
      <c r="AU99" s="493"/>
      <c r="AV99" s="493"/>
      <c r="AW99" s="493"/>
      <c r="AX99" s="493"/>
      <c r="AY99" s="493"/>
      <c r="AZ99" s="493"/>
      <c r="BA99" s="493"/>
      <c r="BB99" s="493"/>
      <c r="BC99" s="493"/>
      <c r="BD99" s="493"/>
      <c r="BE99" s="493"/>
      <c r="BF99" s="493"/>
      <c r="BG99" s="493"/>
    </row>
    <row r="100" spans="1:59" ht="15" customHeight="1">
      <c r="A100" s="363"/>
      <c r="B100" s="364"/>
      <c r="C100" s="365"/>
      <c r="D100" s="76"/>
      <c r="F100" s="76"/>
      <c r="I100" s="76"/>
      <c r="J100" s="76"/>
      <c r="L100" s="76"/>
      <c r="O100" s="492"/>
      <c r="P100" s="516">
        <v>10</v>
      </c>
      <c r="Q100" s="517">
        <f>IF($D$87&lt;W100*0.9,$D$87,W100*0.9)</f>
        <v>2.0282459833888531</v>
      </c>
      <c r="R100" s="517">
        <f>B87</f>
        <v>520</v>
      </c>
      <c r="S100" s="516">
        <f>P100</f>
        <v>10</v>
      </c>
      <c r="T100" s="517">
        <f>U100*V100*PI()/30000</f>
        <v>0.8097369244310797</v>
      </c>
      <c r="U100" s="517">
        <f>H87</f>
        <v>773.24180476340916</v>
      </c>
      <c r="V100" s="516">
        <f>P100</f>
        <v>10</v>
      </c>
      <c r="W100" s="516">
        <f>X100*V100*PI()/30000</f>
        <v>2.2536066482098365</v>
      </c>
      <c r="X100" s="517">
        <f>'limit 480V'!K27</f>
        <v>2152.0358270841211</v>
      </c>
      <c r="Y100" s="492"/>
      <c r="Z100" s="492"/>
      <c r="AA100" s="492"/>
      <c r="AB100" s="492"/>
      <c r="AC100" s="492"/>
      <c r="AD100" s="493"/>
      <c r="AE100" s="493"/>
      <c r="AF100" s="493"/>
      <c r="AG100" s="493"/>
      <c r="AH100" s="493"/>
      <c r="AI100" s="493"/>
      <c r="AJ100" s="493"/>
      <c r="AK100" s="493"/>
      <c r="AL100" s="493"/>
      <c r="AM100" s="493"/>
      <c r="AN100" s="493"/>
      <c r="AO100" s="493"/>
      <c r="AP100" s="493"/>
      <c r="AQ100" s="493"/>
      <c r="AR100" s="493"/>
      <c r="AS100" s="493"/>
      <c r="AT100" s="493"/>
      <c r="AU100" s="493"/>
      <c r="AV100" s="493"/>
      <c r="AW100" s="493"/>
      <c r="AX100" s="493"/>
      <c r="AY100" s="493"/>
      <c r="AZ100" s="493"/>
      <c r="BA100" s="493"/>
      <c r="BB100" s="493"/>
      <c r="BC100" s="493"/>
      <c r="BD100" s="493"/>
      <c r="BE100" s="493"/>
      <c r="BF100" s="493"/>
      <c r="BG100" s="493"/>
    </row>
    <row r="101" spans="1:59" ht="15" customHeight="1">
      <c r="A101" s="363"/>
      <c r="B101" s="364"/>
      <c r="C101" s="365"/>
      <c r="D101" s="76"/>
      <c r="F101" s="76"/>
      <c r="I101" s="76"/>
      <c r="J101" s="76"/>
      <c r="L101" s="76"/>
      <c r="O101" s="492"/>
      <c r="P101" s="516">
        <f>E87</f>
        <v>2336</v>
      </c>
      <c r="Q101" s="517">
        <f>R101*P101*PI()/30000</f>
        <v>127.20518093895312</v>
      </c>
      <c r="R101" s="517">
        <f>B87</f>
        <v>520</v>
      </c>
      <c r="S101" s="516">
        <f>K87</f>
        <v>2336</v>
      </c>
      <c r="T101" s="517">
        <f>U101*S101*PI()/30000</f>
        <v>189.15454554710024</v>
      </c>
      <c r="U101" s="517">
        <f>H87</f>
        <v>773.24180476340916</v>
      </c>
      <c r="V101" s="516">
        <f>Y87</f>
        <v>1920.781115106123</v>
      </c>
      <c r="W101" s="516">
        <f t="shared" ref="W101:W131" si="23">X101*V101*PI()/30000</f>
        <v>432.86850907590622</v>
      </c>
      <c r="X101" s="517">
        <f>X100</f>
        <v>2152.0358270841211</v>
      </c>
      <c r="Y101" s="492"/>
      <c r="Z101" s="492"/>
      <c r="AA101" s="492"/>
      <c r="AB101" s="492"/>
      <c r="AC101" s="492"/>
      <c r="AD101" s="493"/>
      <c r="AE101" s="493"/>
      <c r="AF101" s="493"/>
      <c r="AG101" s="493"/>
      <c r="AH101" s="493"/>
      <c r="AI101" s="493"/>
      <c r="AJ101" s="493"/>
      <c r="AK101" s="493"/>
      <c r="AL101" s="493"/>
      <c r="AM101" s="493"/>
      <c r="AN101" s="493"/>
      <c r="AO101" s="493"/>
      <c r="AP101" s="493"/>
      <c r="AQ101" s="493"/>
      <c r="AR101" s="493"/>
      <c r="AS101" s="493"/>
      <c r="AT101" s="493"/>
      <c r="AU101" s="493"/>
      <c r="AV101" s="493"/>
      <c r="AW101" s="493"/>
      <c r="AX101" s="493"/>
      <c r="AY101" s="493"/>
      <c r="AZ101" s="493"/>
      <c r="BA101" s="493"/>
      <c r="BB101" s="493"/>
      <c r="BC101" s="493"/>
      <c r="BD101" s="493"/>
      <c r="BE101" s="493"/>
      <c r="BF101" s="493"/>
      <c r="BG101" s="493"/>
    </row>
    <row r="102" spans="1:59" ht="15" customHeight="1">
      <c r="A102" s="363"/>
      <c r="B102" s="364"/>
      <c r="C102" s="365"/>
      <c r="D102" s="76"/>
      <c r="F102" s="76"/>
      <c r="I102" s="76"/>
      <c r="J102" s="76"/>
      <c r="L102" s="76"/>
      <c r="O102" s="492"/>
      <c r="P102" s="516">
        <f>P101</f>
        <v>2336</v>
      </c>
      <c r="Q102" s="517">
        <f>R102*P102*PI()/30000</f>
        <v>127.20518093895312</v>
      </c>
      <c r="R102" s="517">
        <f t="shared" ref="R102:R111" si="24">R101*P101/P102</f>
        <v>520</v>
      </c>
      <c r="S102" s="516">
        <f>S101</f>
        <v>2336</v>
      </c>
      <c r="T102" s="517">
        <f>U102*S102*PI()/30000</f>
        <v>189.15454554710024</v>
      </c>
      <c r="U102" s="517">
        <f t="shared" ref="U102:U111" si="25">U101*S101/S102</f>
        <v>773.24180476340916</v>
      </c>
      <c r="V102" s="516">
        <f>V101</f>
        <v>1920.781115106123</v>
      </c>
      <c r="W102" s="516">
        <f t="shared" si="23"/>
        <v>432.86850907590622</v>
      </c>
      <c r="X102" s="517">
        <f>X101</f>
        <v>2152.0358270841211</v>
      </c>
      <c r="Y102" s="492"/>
      <c r="Z102" s="492"/>
      <c r="AA102" s="492"/>
      <c r="AB102" s="492"/>
      <c r="AC102" s="492"/>
      <c r="AD102" s="493"/>
      <c r="AE102" s="493"/>
      <c r="AF102" s="493"/>
      <c r="AG102" s="493"/>
      <c r="AH102" s="493"/>
      <c r="AI102" s="493"/>
      <c r="AJ102" s="493"/>
      <c r="AK102" s="493"/>
      <c r="AL102" s="493"/>
      <c r="AM102" s="493"/>
      <c r="AN102" s="493"/>
      <c r="AO102" s="493"/>
      <c r="AP102" s="493"/>
      <c r="AQ102" s="493"/>
      <c r="AR102" s="493"/>
      <c r="AS102" s="493"/>
      <c r="AT102" s="493"/>
      <c r="AU102" s="493"/>
      <c r="AV102" s="493"/>
      <c r="AW102" s="493"/>
      <c r="AX102" s="493"/>
      <c r="AY102" s="493"/>
      <c r="AZ102" s="493"/>
      <c r="BA102" s="493"/>
      <c r="BB102" s="493"/>
      <c r="BC102" s="493"/>
      <c r="BD102" s="493"/>
      <c r="BE102" s="493"/>
      <c r="BF102" s="493"/>
      <c r="BG102" s="493"/>
    </row>
    <row r="103" spans="1:59" ht="15" customHeight="1">
      <c r="A103" s="363"/>
      <c r="B103" s="364"/>
      <c r="C103" s="365"/>
      <c r="D103" s="76"/>
      <c r="F103" s="76"/>
      <c r="I103" s="76"/>
      <c r="J103" s="76"/>
      <c r="L103" s="76"/>
      <c r="O103" s="492"/>
      <c r="P103" s="516">
        <f>P102+($P$112-$P$102)/10</f>
        <v>2752.4</v>
      </c>
      <c r="Q103" s="517">
        <f t="shared" ref="Q103:Q111" si="26">R103*P103*PI()/30000</f>
        <v>127.20518093895312</v>
      </c>
      <c r="R103" s="517">
        <f t="shared" si="24"/>
        <v>441.33120186019471</v>
      </c>
      <c r="S103" s="516">
        <f t="shared" ref="S103:S110" si="27">S102+($S$112-$S$102)/10</f>
        <v>2578.3653402101872</v>
      </c>
      <c r="T103" s="517">
        <f t="shared" ref="T103:T111" si="28">U103*S103*PI()/30000</f>
        <v>189.15454554710024</v>
      </c>
      <c r="U103" s="517">
        <f t="shared" si="25"/>
        <v>700.55737554247287</v>
      </c>
      <c r="V103" s="516">
        <f t="shared" ref="V103:V131" si="29">IF(V102*1.1&gt;MIN($L$13,$D$112),MIN($L$13,$D$112),V102*1.1)</f>
        <v>2112.8592266167357</v>
      </c>
      <c r="W103" s="516">
        <f t="shared" si="23"/>
        <v>400.70791166357344</v>
      </c>
      <c r="X103" s="517">
        <f t="shared" ref="X103:X130" si="30">X102*(V102/V103)^(1+$AD$87)</f>
        <v>1811.0428960118331</v>
      </c>
      <c r="Y103" s="492"/>
      <c r="Z103" s="492"/>
      <c r="AA103" s="492"/>
      <c r="AB103" s="492"/>
      <c r="AC103" s="492"/>
      <c r="AD103" s="493"/>
      <c r="AE103" s="493"/>
      <c r="AF103" s="493"/>
      <c r="AG103" s="493"/>
      <c r="AH103" s="493"/>
      <c r="AI103" s="493"/>
      <c r="AJ103" s="493"/>
      <c r="AK103" s="493"/>
      <c r="AL103" s="493"/>
      <c r="AM103" s="493"/>
      <c r="AN103" s="493"/>
      <c r="AO103" s="493"/>
      <c r="AP103" s="493"/>
      <c r="AQ103" s="493"/>
      <c r="AR103" s="493"/>
      <c r="AS103" s="493"/>
      <c r="AT103" s="493"/>
      <c r="AU103" s="493"/>
      <c r="AV103" s="493"/>
      <c r="AW103" s="493"/>
      <c r="AX103" s="493"/>
      <c r="AY103" s="493"/>
      <c r="AZ103" s="493"/>
      <c r="BA103" s="493"/>
      <c r="BB103" s="493"/>
      <c r="BC103" s="493"/>
      <c r="BD103" s="493"/>
      <c r="BE103" s="493"/>
      <c r="BF103" s="493"/>
      <c r="BG103" s="493"/>
    </row>
    <row r="104" spans="1:59" ht="15" customHeight="1">
      <c r="A104" s="363"/>
      <c r="B104" s="364"/>
      <c r="C104" s="365"/>
      <c r="D104" s="76"/>
      <c r="F104" s="76"/>
      <c r="I104" s="76"/>
      <c r="J104" s="76"/>
      <c r="L104" s="76"/>
      <c r="O104" s="492"/>
      <c r="P104" s="516">
        <f t="shared" ref="P104:P111" si="31">P103+($P$112-$P$102)/10</f>
        <v>3168.8</v>
      </c>
      <c r="Q104" s="517">
        <f t="shared" si="26"/>
        <v>127.20518093895312</v>
      </c>
      <c r="R104" s="517">
        <f t="shared" si="24"/>
        <v>383.33754102499364</v>
      </c>
      <c r="S104" s="516">
        <f t="shared" si="27"/>
        <v>2820.7306804203745</v>
      </c>
      <c r="T104" s="517">
        <f t="shared" si="28"/>
        <v>189.15454554710024</v>
      </c>
      <c r="U104" s="517">
        <f t="shared" si="25"/>
        <v>640.36345917935398</v>
      </c>
      <c r="V104" s="516">
        <f t="shared" si="29"/>
        <v>2324.1451492784095</v>
      </c>
      <c r="W104" s="516">
        <f t="shared" si="23"/>
        <v>370.93673275647257</v>
      </c>
      <c r="X104" s="517">
        <f t="shared" si="30"/>
        <v>1524.0807471309445</v>
      </c>
      <c r="Y104" s="492"/>
      <c r="Z104" s="492"/>
      <c r="AA104" s="492"/>
      <c r="AB104" s="492"/>
      <c r="AC104" s="492"/>
      <c r="AD104" s="493"/>
      <c r="AE104" s="493"/>
      <c r="AF104" s="493"/>
      <c r="AG104" s="493"/>
      <c r="AH104" s="493"/>
      <c r="AI104" s="493"/>
      <c r="AJ104" s="493"/>
      <c r="AK104" s="493"/>
      <c r="AL104" s="493"/>
      <c r="AM104" s="493"/>
      <c r="AN104" s="493"/>
      <c r="AO104" s="493"/>
      <c r="AP104" s="493"/>
      <c r="AQ104" s="493"/>
      <c r="AR104" s="493"/>
      <c r="AS104" s="493"/>
      <c r="AT104" s="493"/>
      <c r="AU104" s="493"/>
      <c r="AV104" s="493"/>
      <c r="AW104" s="493"/>
      <c r="AX104" s="493"/>
      <c r="AY104" s="493"/>
      <c r="AZ104" s="493"/>
      <c r="BA104" s="493"/>
      <c r="BB104" s="493"/>
      <c r="BC104" s="493"/>
      <c r="BD104" s="493"/>
      <c r="BE104" s="493"/>
      <c r="BF104" s="493"/>
      <c r="BG104" s="493"/>
    </row>
    <row r="105" spans="1:59" ht="15" customHeight="1">
      <c r="A105" s="363"/>
      <c r="B105" s="364"/>
      <c r="C105" s="365"/>
      <c r="D105" s="76"/>
      <c r="F105" s="76"/>
      <c r="I105" s="76"/>
      <c r="J105" s="76"/>
      <c r="L105" s="76"/>
      <c r="O105" s="492"/>
      <c r="P105" s="516">
        <f t="shared" si="31"/>
        <v>3585.2000000000003</v>
      </c>
      <c r="Q105" s="517">
        <f t="shared" si="26"/>
        <v>127.20518093895312</v>
      </c>
      <c r="R105" s="517">
        <f t="shared" si="24"/>
        <v>338.81512886310384</v>
      </c>
      <c r="S105" s="516">
        <f t="shared" si="27"/>
        <v>3063.0960206305617</v>
      </c>
      <c r="T105" s="517">
        <f t="shared" si="28"/>
        <v>189.15454554710024</v>
      </c>
      <c r="U105" s="517">
        <f t="shared" si="25"/>
        <v>589.69514627082594</v>
      </c>
      <c r="V105" s="516">
        <f t="shared" si="29"/>
        <v>2556.5596642062505</v>
      </c>
      <c r="W105" s="516">
        <f t="shared" si="23"/>
        <v>343.37744702073178</v>
      </c>
      <c r="X105" s="517">
        <f t="shared" si="30"/>
        <v>1282.5881313415568</v>
      </c>
      <c r="Y105" s="492"/>
      <c r="Z105" s="492"/>
      <c r="AA105" s="492"/>
      <c r="AB105" s="492"/>
      <c r="AC105" s="492"/>
      <c r="AD105" s="493"/>
      <c r="AE105" s="493"/>
      <c r="AF105" s="493"/>
      <c r="AG105" s="493"/>
      <c r="AH105" s="493"/>
      <c r="AI105" s="493"/>
      <c r="AJ105" s="493"/>
      <c r="AK105" s="493"/>
      <c r="AL105" s="493"/>
      <c r="AM105" s="493"/>
      <c r="AN105" s="493"/>
      <c r="AO105" s="493"/>
      <c r="AP105" s="493"/>
      <c r="AQ105" s="493"/>
      <c r="AR105" s="493"/>
      <c r="AS105" s="493"/>
      <c r="AT105" s="493"/>
      <c r="AU105" s="493"/>
      <c r="AV105" s="493"/>
      <c r="AW105" s="493"/>
      <c r="AX105" s="493"/>
      <c r="AY105" s="493"/>
      <c r="AZ105" s="493"/>
      <c r="BA105" s="493"/>
      <c r="BB105" s="493"/>
      <c r="BC105" s="493"/>
      <c r="BD105" s="493"/>
      <c r="BE105" s="493"/>
      <c r="BF105" s="493"/>
      <c r="BG105" s="493"/>
    </row>
    <row r="106" spans="1:59" ht="15" customHeight="1">
      <c r="A106" s="363"/>
      <c r="B106" s="364"/>
      <c r="C106" s="365"/>
      <c r="D106" s="76"/>
      <c r="F106" s="76"/>
      <c r="I106" s="76"/>
      <c r="J106" s="76"/>
      <c r="L106" s="76"/>
      <c r="N106" s="91"/>
      <c r="O106" s="492"/>
      <c r="P106" s="516">
        <f t="shared" si="31"/>
        <v>4001.6000000000004</v>
      </c>
      <c r="Q106" s="517">
        <f t="shared" si="26"/>
        <v>127.20518093895312</v>
      </c>
      <c r="R106" s="517">
        <f t="shared" si="24"/>
        <v>303.55857656937224</v>
      </c>
      <c r="S106" s="516">
        <f t="shared" si="27"/>
        <v>3305.461360840749</v>
      </c>
      <c r="T106" s="517">
        <f t="shared" si="28"/>
        <v>189.15454554710027</v>
      </c>
      <c r="U106" s="517">
        <f t="shared" si="25"/>
        <v>546.45710802315682</v>
      </c>
      <c r="V106" s="516">
        <f t="shared" si="29"/>
        <v>2812.2156306268757</v>
      </c>
      <c r="W106" s="516">
        <f t="shared" si="23"/>
        <v>317.86571862615864</v>
      </c>
      <c r="X106" s="517">
        <f t="shared" si="30"/>
        <v>1079.360340818537</v>
      </c>
      <c r="Y106" s="492"/>
      <c r="Z106" s="492"/>
      <c r="AA106" s="492"/>
      <c r="AB106" s="492"/>
      <c r="AC106" s="492"/>
      <c r="AD106" s="493"/>
      <c r="AE106" s="493"/>
      <c r="AF106" s="493"/>
      <c r="AG106" s="493"/>
      <c r="AH106" s="493"/>
      <c r="AI106" s="493"/>
      <c r="AJ106" s="493"/>
      <c r="AK106" s="493"/>
      <c r="AL106" s="493"/>
      <c r="AM106" s="493"/>
      <c r="AN106" s="493"/>
      <c r="AO106" s="493"/>
      <c r="AP106" s="493"/>
      <c r="AQ106" s="493"/>
      <c r="AR106" s="493"/>
      <c r="AS106" s="493"/>
      <c r="AT106" s="493"/>
      <c r="AU106" s="493"/>
      <c r="AV106" s="493"/>
      <c r="AW106" s="493"/>
      <c r="AX106" s="493"/>
      <c r="AY106" s="493"/>
      <c r="AZ106" s="493"/>
      <c r="BA106" s="493"/>
      <c r="BB106" s="493"/>
      <c r="BC106" s="493"/>
      <c r="BD106" s="493"/>
      <c r="BE106" s="493"/>
      <c r="BF106" s="493"/>
      <c r="BG106" s="493"/>
    </row>
    <row r="107" spans="1:59" ht="15" customHeight="1">
      <c r="A107" s="363"/>
      <c r="B107" s="364"/>
      <c r="C107" s="365"/>
      <c r="D107" s="76"/>
      <c r="F107" s="76"/>
      <c r="I107" s="76"/>
      <c r="J107" s="76"/>
      <c r="L107" s="76"/>
      <c r="N107" s="91"/>
      <c r="O107" s="492"/>
      <c r="P107" s="516">
        <f t="shared" si="31"/>
        <v>4418</v>
      </c>
      <c r="Q107" s="517">
        <f t="shared" si="26"/>
        <v>127.20518093895312</v>
      </c>
      <c r="R107" s="517">
        <f t="shared" si="24"/>
        <v>274.94794024445451</v>
      </c>
      <c r="S107" s="516">
        <f t="shared" si="27"/>
        <v>3547.8267010509362</v>
      </c>
      <c r="T107" s="517">
        <f t="shared" si="28"/>
        <v>189.15454554710027</v>
      </c>
      <c r="U107" s="517">
        <f t="shared" si="25"/>
        <v>509.12657469776207</v>
      </c>
      <c r="V107" s="516">
        <f t="shared" si="29"/>
        <v>3093.4371936895636</v>
      </c>
      <c r="W107" s="516">
        <f t="shared" si="23"/>
        <v>294.24942131282108</v>
      </c>
      <c r="X107" s="517">
        <f t="shared" si="30"/>
        <v>908.33426324733409</v>
      </c>
      <c r="Y107" s="492"/>
      <c r="Z107" s="492"/>
      <c r="AA107" s="492"/>
      <c r="AB107" s="492"/>
      <c r="AC107" s="492"/>
      <c r="AD107" s="493"/>
      <c r="AE107" s="493"/>
      <c r="AF107" s="493"/>
      <c r="AG107" s="493"/>
      <c r="AH107" s="493"/>
      <c r="AI107" s="493"/>
      <c r="AJ107" s="493"/>
      <c r="AK107" s="493"/>
      <c r="AL107" s="493"/>
      <c r="AM107" s="493"/>
      <c r="AN107" s="493"/>
      <c r="AO107" s="493"/>
      <c r="AP107" s="493"/>
      <c r="AQ107" s="493"/>
      <c r="AR107" s="493"/>
      <c r="AS107" s="493"/>
      <c r="AT107" s="493"/>
      <c r="AU107" s="493"/>
      <c r="AV107" s="493"/>
      <c r="AW107" s="493"/>
      <c r="AX107" s="493"/>
      <c r="AY107" s="493"/>
      <c r="AZ107" s="493"/>
      <c r="BA107" s="493"/>
      <c r="BB107" s="493"/>
      <c r="BC107" s="493"/>
      <c r="BD107" s="493"/>
      <c r="BE107" s="493"/>
      <c r="BF107" s="493"/>
      <c r="BG107" s="493"/>
    </row>
    <row r="108" spans="1:59" ht="15" customHeight="1">
      <c r="A108" s="363"/>
      <c r="B108" s="364"/>
      <c r="C108" s="365"/>
      <c r="D108" s="76"/>
      <c r="F108" s="76"/>
      <c r="I108" s="76"/>
      <c r="J108" s="76"/>
      <c r="L108" s="76"/>
      <c r="O108" s="492"/>
      <c r="P108" s="516">
        <f t="shared" si="31"/>
        <v>4834.3999999999996</v>
      </c>
      <c r="Q108" s="517">
        <f t="shared" si="26"/>
        <v>127.20518093895312</v>
      </c>
      <c r="R108" s="517">
        <f t="shared" si="24"/>
        <v>251.26592751944401</v>
      </c>
      <c r="S108" s="516">
        <f t="shared" si="27"/>
        <v>3790.1920412611234</v>
      </c>
      <c r="T108" s="517">
        <f t="shared" si="28"/>
        <v>189.15454554710027</v>
      </c>
      <c r="U108" s="517">
        <f t="shared" si="25"/>
        <v>476.57027302666972</v>
      </c>
      <c r="V108" s="516">
        <f t="shared" si="29"/>
        <v>3402.7809130585201</v>
      </c>
      <c r="W108" s="516">
        <f t="shared" si="23"/>
        <v>272.38773126321274</v>
      </c>
      <c r="X108" s="517">
        <f t="shared" si="30"/>
        <v>764.40749450121689</v>
      </c>
      <c r="Y108" s="492"/>
      <c r="Z108" s="492"/>
      <c r="AA108" s="492"/>
      <c r="AB108" s="492"/>
      <c r="AC108" s="492"/>
      <c r="AD108" s="493"/>
      <c r="AE108" s="493"/>
      <c r="AF108" s="493"/>
      <c r="AG108" s="493"/>
      <c r="AH108" s="493"/>
      <c r="AI108" s="493"/>
      <c r="AJ108" s="493"/>
      <c r="AK108" s="493"/>
      <c r="AL108" s="493"/>
      <c r="AM108" s="493"/>
      <c r="AN108" s="493"/>
      <c r="AO108" s="493"/>
      <c r="AP108" s="493"/>
      <c r="AQ108" s="493"/>
      <c r="AR108" s="493"/>
      <c r="AS108" s="493"/>
      <c r="AT108" s="493"/>
      <c r="AU108" s="493"/>
      <c r="AV108" s="493"/>
      <c r="AW108" s="493"/>
      <c r="AX108" s="493"/>
      <c r="AY108" s="493"/>
      <c r="AZ108" s="493"/>
      <c r="BA108" s="493"/>
      <c r="BB108" s="493"/>
      <c r="BC108" s="493"/>
      <c r="BD108" s="493"/>
      <c r="BE108" s="493"/>
      <c r="BF108" s="493"/>
      <c r="BG108" s="493"/>
    </row>
    <row r="109" spans="1:59" ht="15" customHeight="1">
      <c r="A109" s="363"/>
      <c r="B109" s="364"/>
      <c r="C109" s="365"/>
      <c r="D109" s="76"/>
      <c r="F109" s="76"/>
      <c r="I109" s="76"/>
      <c r="J109" s="76"/>
      <c r="L109" s="76"/>
      <c r="O109" s="492"/>
      <c r="P109" s="516">
        <f t="shared" si="31"/>
        <v>5250.7999999999993</v>
      </c>
      <c r="Q109" s="517">
        <f t="shared" si="26"/>
        <v>127.20518093895312</v>
      </c>
      <c r="R109" s="517">
        <f t="shared" si="24"/>
        <v>231.33998628780378</v>
      </c>
      <c r="S109" s="516">
        <f t="shared" si="27"/>
        <v>4032.5573814713107</v>
      </c>
      <c r="T109" s="517">
        <f t="shared" si="28"/>
        <v>189.15454554710027</v>
      </c>
      <c r="U109" s="517">
        <f t="shared" si="25"/>
        <v>447.9273783497369</v>
      </c>
      <c r="V109" s="516">
        <f t="shared" si="29"/>
        <v>3743.0590043643724</v>
      </c>
      <c r="W109" s="516">
        <f t="shared" si="23"/>
        <v>252.15028737080266</v>
      </c>
      <c r="X109" s="517">
        <f t="shared" si="30"/>
        <v>643.28611315471358</v>
      </c>
      <c r="Y109" s="492"/>
      <c r="Z109" s="492"/>
      <c r="AA109" s="492"/>
      <c r="AB109" s="492"/>
      <c r="AC109" s="492"/>
      <c r="AD109" s="493"/>
      <c r="AE109" s="493"/>
      <c r="AF109" s="493"/>
      <c r="AG109" s="493"/>
      <c r="AH109" s="493"/>
      <c r="AI109" s="493"/>
      <c r="AJ109" s="493"/>
      <c r="AK109" s="493"/>
      <c r="AL109" s="493"/>
      <c r="AM109" s="493"/>
      <c r="AN109" s="493"/>
      <c r="AO109" s="493"/>
      <c r="AP109" s="493"/>
      <c r="AQ109" s="493"/>
      <c r="AR109" s="493"/>
      <c r="AS109" s="493"/>
      <c r="AT109" s="493"/>
      <c r="AU109" s="493"/>
      <c r="AV109" s="493"/>
      <c r="AW109" s="493"/>
      <c r="AX109" s="493"/>
      <c r="AY109" s="493"/>
      <c r="AZ109" s="493"/>
      <c r="BA109" s="493"/>
      <c r="BB109" s="493"/>
      <c r="BC109" s="493"/>
      <c r="BD109" s="493"/>
      <c r="BE109" s="493"/>
      <c r="BF109" s="493"/>
      <c r="BG109" s="493"/>
    </row>
    <row r="110" spans="1:59" ht="15" customHeight="1">
      <c r="A110" s="363"/>
      <c r="B110" s="364"/>
      <c r="C110" s="365"/>
      <c r="D110" s="76"/>
      <c r="F110" s="76"/>
      <c r="I110" s="76"/>
      <c r="J110" s="76"/>
      <c r="L110" s="76"/>
      <c r="O110" s="492"/>
      <c r="P110" s="516">
        <f t="shared" si="31"/>
        <v>5667.1999999999989</v>
      </c>
      <c r="Q110" s="517">
        <f t="shared" si="26"/>
        <v>127.20518093895312</v>
      </c>
      <c r="R110" s="517">
        <f t="shared" si="24"/>
        <v>214.34217955957089</v>
      </c>
      <c r="S110" s="516">
        <f t="shared" si="27"/>
        <v>4274.9227216814979</v>
      </c>
      <c r="T110" s="517">
        <f t="shared" si="28"/>
        <v>189.15454554710024</v>
      </c>
      <c r="U110" s="517">
        <f t="shared" si="25"/>
        <v>422.53228269278208</v>
      </c>
      <c r="V110" s="516">
        <f t="shared" si="29"/>
        <v>4117.3649048008101</v>
      </c>
      <c r="W110" s="516">
        <f t="shared" si="23"/>
        <v>233.41641389765886</v>
      </c>
      <c r="X110" s="517">
        <f t="shared" si="30"/>
        <v>541.35657532729761</v>
      </c>
      <c r="Y110" s="492"/>
      <c r="Z110" s="492"/>
      <c r="AA110" s="492"/>
      <c r="AB110" s="492"/>
      <c r="AC110" s="492"/>
      <c r="AD110" s="493"/>
      <c r="AE110" s="493"/>
      <c r="AF110" s="493"/>
      <c r="AG110" s="493"/>
      <c r="AH110" s="493"/>
      <c r="AI110" s="493"/>
      <c r="AJ110" s="493"/>
      <c r="AK110" s="493"/>
      <c r="AL110" s="493"/>
      <c r="AM110" s="493"/>
      <c r="AN110" s="493"/>
      <c r="AO110" s="493"/>
      <c r="AP110" s="493"/>
      <c r="AQ110" s="493"/>
      <c r="AR110" s="493"/>
      <c r="AS110" s="493"/>
      <c r="AT110" s="493"/>
      <c r="AU110" s="493"/>
      <c r="AV110" s="493"/>
      <c r="AW110" s="493"/>
      <c r="AX110" s="493"/>
      <c r="AY110" s="493"/>
      <c r="AZ110" s="493"/>
      <c r="BA110" s="493"/>
      <c r="BB110" s="493"/>
      <c r="BC110" s="493"/>
      <c r="BD110" s="493"/>
      <c r="BE110" s="493"/>
      <c r="BF110" s="493"/>
      <c r="BG110" s="493"/>
    </row>
    <row r="111" spans="1:59" ht="15" customHeight="1" thickBot="1">
      <c r="A111" s="366"/>
      <c r="B111" s="367"/>
      <c r="C111" s="368"/>
      <c r="D111" s="76"/>
      <c r="F111" s="76"/>
      <c r="I111" s="76"/>
      <c r="J111" s="76"/>
      <c r="L111" s="76"/>
      <c r="O111" s="492"/>
      <c r="P111" s="516">
        <f t="shared" si="31"/>
        <v>6083.5999999999985</v>
      </c>
      <c r="Q111" s="517">
        <f t="shared" si="26"/>
        <v>127.20518093895312</v>
      </c>
      <c r="R111" s="517">
        <f t="shared" si="24"/>
        <v>199.67124728779018</v>
      </c>
      <c r="S111" s="516">
        <f>S110+($S$112-$S$102)/10</f>
        <v>4517.2880618916852</v>
      </c>
      <c r="T111" s="517">
        <f t="shared" si="28"/>
        <v>189.15454554710024</v>
      </c>
      <c r="U111" s="517">
        <f t="shared" si="25"/>
        <v>399.8622251180746</v>
      </c>
      <c r="V111" s="516">
        <f t="shared" si="29"/>
        <v>4529.1013952808917</v>
      </c>
      <c r="W111" s="516">
        <f t="shared" si="23"/>
        <v>216.07440088585835</v>
      </c>
      <c r="X111" s="517">
        <f t="shared" si="30"/>
        <v>455.57790795899859</v>
      </c>
      <c r="Y111" s="492"/>
      <c r="Z111" s="492"/>
      <c r="AA111" s="492"/>
      <c r="AB111" s="492"/>
      <c r="AC111" s="492"/>
      <c r="AD111" s="493"/>
      <c r="AE111" s="493"/>
      <c r="AF111" s="493"/>
      <c r="AG111" s="493"/>
      <c r="AH111" s="493"/>
      <c r="AI111" s="493"/>
      <c r="AJ111" s="493"/>
      <c r="AK111" s="493"/>
      <c r="AL111" s="493"/>
      <c r="AM111" s="493"/>
      <c r="AN111" s="493"/>
      <c r="AO111" s="493"/>
      <c r="AP111" s="493"/>
      <c r="AQ111" s="493"/>
      <c r="AR111" s="493"/>
      <c r="AS111" s="493"/>
      <c r="AT111" s="493"/>
      <c r="AU111" s="493"/>
      <c r="AV111" s="493"/>
      <c r="AW111" s="493"/>
      <c r="AX111" s="493"/>
      <c r="AY111" s="493"/>
      <c r="AZ111" s="493"/>
      <c r="BA111" s="493"/>
      <c r="BB111" s="493"/>
      <c r="BC111" s="493"/>
      <c r="BD111" s="493"/>
      <c r="BE111" s="493"/>
      <c r="BF111" s="493"/>
      <c r="BG111" s="493"/>
    </row>
    <row r="112" spans="1:59" ht="22.5" customHeight="1" thickBot="1">
      <c r="A112" s="426" t="s">
        <v>225</v>
      </c>
      <c r="B112" s="94" t="s">
        <v>224</v>
      </c>
      <c r="C112" s="358">
        <v>4</v>
      </c>
      <c r="D112" s="193">
        <f>TRUNC(E87*C112,-1)</f>
        <v>9340</v>
      </c>
      <c r="F112" s="76"/>
      <c r="I112" s="76"/>
      <c r="J112" s="76"/>
      <c r="L112" s="76"/>
      <c r="O112" s="492"/>
      <c r="P112" s="516">
        <f>IF(G87&gt;E87*C112,E87*C112,G87)</f>
        <v>6500</v>
      </c>
      <c r="Q112" s="517">
        <f>R112*P112*PI()/30000</f>
        <v>127.20518093895312</v>
      </c>
      <c r="R112" s="517">
        <f>R106*P106/P112</f>
        <v>186.88</v>
      </c>
      <c r="S112" s="516">
        <f>M87</f>
        <v>4759.6534021018733</v>
      </c>
      <c r="T112" s="517">
        <f>U112*S112*PI()/30000</f>
        <v>189.15454554710027</v>
      </c>
      <c r="U112" s="517">
        <f>U106*S106/S112</f>
        <v>379.50092230027951</v>
      </c>
      <c r="V112" s="516">
        <f t="shared" si="29"/>
        <v>4982.0115348089812</v>
      </c>
      <c r="W112" s="516">
        <f t="shared" si="23"/>
        <v>200.02083803178041</v>
      </c>
      <c r="X112" s="517">
        <f t="shared" si="30"/>
        <v>383.39098420447726</v>
      </c>
      <c r="Y112" s="492"/>
      <c r="Z112" s="492">
        <v>4000</v>
      </c>
      <c r="AA112" s="492"/>
      <c r="AB112" s="492"/>
      <c r="AC112" s="492"/>
      <c r="AD112" s="492"/>
      <c r="AE112" s="492"/>
      <c r="AF112" s="492"/>
      <c r="AG112" s="492"/>
      <c r="AH112" s="493"/>
      <c r="AI112" s="493"/>
      <c r="AJ112" s="493"/>
      <c r="AK112" s="493"/>
      <c r="AL112" s="493"/>
      <c r="AM112" s="493"/>
      <c r="AN112" s="493"/>
      <c r="AO112" s="493"/>
      <c r="AP112" s="493"/>
      <c r="AQ112" s="493"/>
      <c r="AR112" s="493"/>
      <c r="AS112" s="493"/>
      <c r="AT112" s="493"/>
      <c r="AU112" s="493"/>
      <c r="AV112" s="493"/>
      <c r="AW112" s="493"/>
      <c r="AX112" s="493"/>
      <c r="AY112" s="493"/>
      <c r="AZ112" s="493"/>
      <c r="BA112" s="493"/>
      <c r="BB112" s="493"/>
      <c r="BC112" s="493"/>
      <c r="BD112" s="493"/>
      <c r="BE112" s="493"/>
      <c r="BF112" s="493"/>
      <c r="BG112" s="493"/>
    </row>
    <row r="113" spans="1:59" ht="15" customHeight="1">
      <c r="A113" s="696" t="s">
        <v>108</v>
      </c>
      <c r="B113" s="697"/>
      <c r="C113" s="698"/>
      <c r="D113" s="76"/>
      <c r="F113" s="76"/>
      <c r="I113" s="76"/>
      <c r="J113" s="76"/>
      <c r="L113" s="76"/>
      <c r="O113" s="492"/>
      <c r="P113" s="516">
        <f>P112</f>
        <v>6500</v>
      </c>
      <c r="Q113" s="517">
        <f>R113*P113*PI()/30000</f>
        <v>127.20518093895312</v>
      </c>
      <c r="R113" s="517">
        <f>R112*(P112/P113)^2</f>
        <v>186.88</v>
      </c>
      <c r="S113" s="516">
        <f>S112</f>
        <v>4759.6534021018733</v>
      </c>
      <c r="T113" s="517">
        <f>U113*S113*PI()/30000</f>
        <v>189.15454554710027</v>
      </c>
      <c r="U113" s="517">
        <f>U112</f>
        <v>379.50092230027951</v>
      </c>
      <c r="V113" s="516">
        <f t="shared" si="29"/>
        <v>5480.2126882898801</v>
      </c>
      <c r="W113" s="516">
        <f t="shared" si="23"/>
        <v>185.15999805118142</v>
      </c>
      <c r="X113" s="517">
        <f t="shared" si="30"/>
        <v>322.64217426123849</v>
      </c>
      <c r="Y113" s="492"/>
      <c r="Z113" s="492"/>
      <c r="AA113" s="492"/>
      <c r="AB113" s="492"/>
      <c r="AC113" s="492"/>
      <c r="AD113" s="493"/>
      <c r="AE113" s="493"/>
      <c r="AF113" s="493"/>
      <c r="AG113" s="493"/>
      <c r="AH113" s="493"/>
      <c r="AI113" s="493"/>
      <c r="AJ113" s="493"/>
      <c r="AK113" s="493"/>
      <c r="AL113" s="493"/>
      <c r="AM113" s="493"/>
      <c r="AN113" s="493"/>
      <c r="AO113" s="493"/>
      <c r="AP113" s="493"/>
      <c r="AQ113" s="493"/>
      <c r="AR113" s="493"/>
      <c r="AS113" s="493"/>
      <c r="AT113" s="493"/>
      <c r="AU113" s="493"/>
      <c r="AV113" s="493"/>
      <c r="AW113" s="493"/>
      <c r="AX113" s="493"/>
      <c r="AY113" s="493"/>
      <c r="AZ113" s="493"/>
      <c r="BA113" s="493"/>
      <c r="BB113" s="493"/>
      <c r="BC113" s="493"/>
      <c r="BD113" s="493"/>
      <c r="BE113" s="493"/>
      <c r="BF113" s="493"/>
      <c r="BG113" s="493"/>
    </row>
    <row r="114" spans="1:59" ht="15" customHeight="1" thickBot="1">
      <c r="A114" s="699"/>
      <c r="B114" s="700"/>
      <c r="C114" s="701"/>
      <c r="D114" s="76"/>
      <c r="F114" s="76"/>
      <c r="I114" s="76"/>
      <c r="J114" s="76"/>
      <c r="L114" s="76"/>
      <c r="O114" s="492"/>
      <c r="P114" s="516">
        <f t="shared" ref="P114:P131" si="32">IF(P113*1.1&gt;MIN($L$13,$D$112),MIN($L$13,$D$112),P113*1.1)</f>
        <v>6500</v>
      </c>
      <c r="Q114" s="517">
        <f>R114*P114*PI()/30000</f>
        <v>127.20518093895312</v>
      </c>
      <c r="R114" s="517">
        <f t="shared" ref="R114:R130" si="33">R113*(P113/P114)^(1+$AD$87)</f>
        <v>186.88</v>
      </c>
      <c r="S114" s="516">
        <f t="shared" ref="S114:S131" si="34">IF(S113*1.1&gt;MIN($L$13,$D$112),MIN($L$13,$D$112),S113*1.1)</f>
        <v>5235.6187423120609</v>
      </c>
      <c r="T114" s="517">
        <f t="shared" ref="T114:T131" si="35">U114*S114*PI()/30000</f>
        <v>175.10103261995337</v>
      </c>
      <c r="U114" s="517">
        <f t="shared" ref="U114:U130" si="36">U113*(S113/S114)^(1+$AD$87)</f>
        <v>319.36849782519647</v>
      </c>
      <c r="V114" s="516">
        <f t="shared" si="29"/>
        <v>6028.2339571188686</v>
      </c>
      <c r="W114" s="516">
        <f t="shared" si="23"/>
        <v>171.40326585806145</v>
      </c>
      <c r="X114" s="517">
        <f t="shared" si="30"/>
        <v>271.51909382537781</v>
      </c>
      <c r="Y114" s="492"/>
      <c r="Z114" s="492"/>
      <c r="AA114" s="492"/>
      <c r="AB114" s="492"/>
      <c r="AC114" s="492"/>
      <c r="AD114" s="493"/>
      <c r="AE114" s="493"/>
      <c r="AF114" s="493"/>
      <c r="AG114" s="493"/>
      <c r="AH114" s="493"/>
      <c r="AI114" s="493"/>
      <c r="AJ114" s="493"/>
      <c r="AK114" s="493"/>
      <c r="AL114" s="493"/>
      <c r="AM114" s="493"/>
      <c r="AN114" s="493"/>
      <c r="AO114" s="493"/>
      <c r="AP114" s="493"/>
      <c r="AQ114" s="493"/>
      <c r="AR114" s="493"/>
      <c r="AS114" s="493"/>
      <c r="AT114" s="493"/>
      <c r="AU114" s="493"/>
      <c r="AV114" s="493"/>
      <c r="AW114" s="493"/>
      <c r="AX114" s="493"/>
      <c r="AY114" s="493"/>
      <c r="AZ114" s="493"/>
      <c r="BA114" s="493"/>
      <c r="BB114" s="493"/>
      <c r="BC114" s="493"/>
      <c r="BD114" s="493"/>
      <c r="BE114" s="493"/>
      <c r="BF114" s="493"/>
      <c r="BG114" s="493"/>
    </row>
    <row r="115" spans="1:59" ht="15" customHeight="1" thickBot="1">
      <c r="A115" s="359" t="s">
        <v>82</v>
      </c>
      <c r="B115" s="359" t="s">
        <v>118</v>
      </c>
      <c r="C115" s="359" t="s">
        <v>119</v>
      </c>
      <c r="D115" s="76"/>
      <c r="F115" s="76"/>
      <c r="I115" s="76"/>
      <c r="J115" s="76"/>
      <c r="L115" s="76"/>
      <c r="O115" s="492"/>
      <c r="P115" s="516">
        <f t="shared" si="32"/>
        <v>6500</v>
      </c>
      <c r="Q115" s="517">
        <f t="shared" ref="Q115:Q131" si="37">R115*P115*PI()/30000</f>
        <v>127.20518093895312</v>
      </c>
      <c r="R115" s="517">
        <f t="shared" si="33"/>
        <v>186.88</v>
      </c>
      <c r="S115" s="516">
        <f t="shared" si="34"/>
        <v>5759.1806165432672</v>
      </c>
      <c r="T115" s="517">
        <f t="shared" si="35"/>
        <v>162.09164593900502</v>
      </c>
      <c r="U115" s="517">
        <f t="shared" si="36"/>
        <v>268.76413576254276</v>
      </c>
      <c r="V115" s="516">
        <f t="shared" si="29"/>
        <v>6500</v>
      </c>
      <c r="W115" s="516">
        <f t="shared" si="23"/>
        <v>161.25502387716233</v>
      </c>
      <c r="X115" s="517">
        <f t="shared" si="30"/>
        <v>236.9033921395569</v>
      </c>
      <c r="Y115" s="492"/>
      <c r="Z115" s="492"/>
      <c r="AA115" s="492"/>
      <c r="AB115" s="492"/>
      <c r="AC115" s="492"/>
      <c r="AD115" s="493"/>
      <c r="AE115" s="493"/>
      <c r="AF115" s="493"/>
      <c r="AG115" s="493"/>
      <c r="AH115" s="493"/>
      <c r="AI115" s="493"/>
      <c r="AJ115" s="493"/>
      <c r="AK115" s="493"/>
      <c r="AL115" s="493"/>
      <c r="AM115" s="493"/>
      <c r="AN115" s="493"/>
      <c r="AO115" s="493"/>
      <c r="AP115" s="493"/>
      <c r="AQ115" s="493"/>
      <c r="AR115" s="493"/>
      <c r="AS115" s="493"/>
      <c r="AT115" s="493"/>
      <c r="AU115" s="493"/>
      <c r="AV115" s="493"/>
      <c r="AW115" s="493"/>
      <c r="AX115" s="493"/>
      <c r="AY115" s="493"/>
      <c r="AZ115" s="493"/>
      <c r="BA115" s="493"/>
      <c r="BB115" s="493"/>
      <c r="BC115" s="493"/>
      <c r="BD115" s="493"/>
      <c r="BE115" s="493"/>
      <c r="BF115" s="493"/>
      <c r="BG115" s="493"/>
    </row>
    <row r="116" spans="1:59" ht="15" customHeight="1">
      <c r="A116" s="360"/>
      <c r="B116" s="369"/>
      <c r="C116" s="370"/>
      <c r="D116" s="76"/>
      <c r="F116" s="76"/>
      <c r="I116" s="76"/>
      <c r="J116" s="76"/>
      <c r="L116" s="76"/>
      <c r="O116" s="492"/>
      <c r="P116" s="516">
        <f t="shared" si="32"/>
        <v>6500</v>
      </c>
      <c r="Q116" s="517">
        <f t="shared" si="37"/>
        <v>127.20518093895312</v>
      </c>
      <c r="R116" s="517">
        <f t="shared" si="33"/>
        <v>186.88</v>
      </c>
      <c r="S116" s="516">
        <f t="shared" si="34"/>
        <v>6335.0986781975944</v>
      </c>
      <c r="T116" s="517">
        <f t="shared" si="35"/>
        <v>150.04881062147308</v>
      </c>
      <c r="U116" s="517">
        <f t="shared" si="36"/>
        <v>226.17810198588609</v>
      </c>
      <c r="V116" s="516">
        <f t="shared" si="29"/>
        <v>6500</v>
      </c>
      <c r="W116" s="516">
        <f t="shared" si="23"/>
        <v>161.25502387716233</v>
      </c>
      <c r="X116" s="517">
        <f t="shared" si="30"/>
        <v>236.9033921395569</v>
      </c>
      <c r="Y116" s="492"/>
      <c r="Z116" s="492"/>
      <c r="AA116" s="492"/>
      <c r="AB116" s="492"/>
      <c r="AC116" s="492"/>
      <c r="AD116" s="493"/>
      <c r="AE116" s="493"/>
      <c r="AF116" s="493"/>
      <c r="AG116" s="493"/>
      <c r="AH116" s="493"/>
      <c r="AI116" s="493"/>
      <c r="AJ116" s="493"/>
      <c r="AK116" s="493"/>
      <c r="AL116" s="493"/>
      <c r="AM116" s="493"/>
      <c r="AN116" s="493"/>
      <c r="AO116" s="493"/>
      <c r="AP116" s="493"/>
      <c r="AQ116" s="493"/>
      <c r="AR116" s="493"/>
      <c r="AS116" s="493"/>
      <c r="AT116" s="493"/>
      <c r="AU116" s="493"/>
      <c r="AV116" s="493"/>
      <c r="AW116" s="493"/>
      <c r="AX116" s="493"/>
      <c r="AY116" s="493"/>
      <c r="AZ116" s="493"/>
      <c r="BA116" s="493"/>
      <c r="BB116" s="493"/>
      <c r="BC116" s="493"/>
      <c r="BD116" s="493"/>
      <c r="BE116" s="493"/>
      <c r="BF116" s="493"/>
      <c r="BG116" s="493"/>
    </row>
    <row r="117" spans="1:59" ht="15" customHeight="1">
      <c r="A117" s="363"/>
      <c r="B117" s="371"/>
      <c r="C117" s="372"/>
      <c r="D117" s="76"/>
      <c r="F117" s="76"/>
      <c r="I117" s="76"/>
      <c r="J117" s="76"/>
      <c r="L117" s="76"/>
      <c r="O117" s="492"/>
      <c r="P117" s="516">
        <f t="shared" si="32"/>
        <v>6500</v>
      </c>
      <c r="Q117" s="517">
        <f t="shared" si="37"/>
        <v>127.20518093895312</v>
      </c>
      <c r="R117" s="517">
        <f t="shared" si="33"/>
        <v>186.88</v>
      </c>
      <c r="S117" s="516">
        <f t="shared" si="34"/>
        <v>6500</v>
      </c>
      <c r="T117" s="517">
        <f t="shared" si="35"/>
        <v>146.95791425113813</v>
      </c>
      <c r="U117" s="517">
        <f t="shared" si="36"/>
        <v>215.89918596501715</v>
      </c>
      <c r="V117" s="516">
        <f t="shared" si="29"/>
        <v>6500</v>
      </c>
      <c r="W117" s="516">
        <f t="shared" si="23"/>
        <v>161.25502387716233</v>
      </c>
      <c r="X117" s="517">
        <f t="shared" si="30"/>
        <v>236.9033921395569</v>
      </c>
      <c r="Y117" s="492"/>
      <c r="Z117" s="492"/>
      <c r="AA117" s="492"/>
      <c r="AB117" s="492"/>
      <c r="AC117" s="492"/>
      <c r="AD117" s="493"/>
      <c r="AE117" s="493"/>
      <c r="AF117" s="493"/>
      <c r="AG117" s="493"/>
      <c r="AH117" s="493"/>
      <c r="AI117" s="493"/>
      <c r="AJ117" s="493"/>
      <c r="AK117" s="493"/>
      <c r="AL117" s="493"/>
      <c r="AM117" s="493"/>
      <c r="AN117" s="493"/>
      <c r="AO117" s="493"/>
      <c r="AP117" s="493"/>
      <c r="AQ117" s="493"/>
      <c r="AR117" s="493"/>
      <c r="AS117" s="493"/>
      <c r="AT117" s="493"/>
      <c r="AU117" s="493"/>
      <c r="AV117" s="493"/>
      <c r="AW117" s="493"/>
      <c r="AX117" s="493"/>
      <c r="AY117" s="493"/>
      <c r="AZ117" s="493"/>
      <c r="BA117" s="493"/>
      <c r="BB117" s="493"/>
      <c r="BC117" s="493"/>
      <c r="BD117" s="493"/>
      <c r="BE117" s="493"/>
      <c r="BF117" s="493"/>
      <c r="BG117" s="493"/>
    </row>
    <row r="118" spans="1:59" ht="15" customHeight="1">
      <c r="A118" s="363"/>
      <c r="B118" s="371"/>
      <c r="C118" s="372"/>
      <c r="D118" s="76"/>
      <c r="F118" s="76"/>
      <c r="I118" s="76"/>
      <c r="J118" s="76"/>
      <c r="L118" s="76"/>
      <c r="O118" s="492"/>
      <c r="P118" s="516">
        <f t="shared" si="32"/>
        <v>6500</v>
      </c>
      <c r="Q118" s="517">
        <f t="shared" si="37"/>
        <v>127.20518093895312</v>
      </c>
      <c r="R118" s="517">
        <f t="shared" si="33"/>
        <v>186.88</v>
      </c>
      <c r="S118" s="516">
        <f t="shared" si="34"/>
        <v>6500</v>
      </c>
      <c r="T118" s="517">
        <f t="shared" si="35"/>
        <v>146.95791425113813</v>
      </c>
      <c r="U118" s="517">
        <f t="shared" si="36"/>
        <v>215.89918596501715</v>
      </c>
      <c r="V118" s="516">
        <f t="shared" si="29"/>
        <v>6500</v>
      </c>
      <c r="W118" s="516">
        <f t="shared" si="23"/>
        <v>161.25502387716233</v>
      </c>
      <c r="X118" s="517">
        <f t="shared" si="30"/>
        <v>236.9033921395569</v>
      </c>
      <c r="Y118" s="492"/>
      <c r="Z118" s="492"/>
      <c r="AA118" s="492"/>
      <c r="AB118" s="492"/>
      <c r="AC118" s="492"/>
      <c r="AD118" s="493"/>
      <c r="AE118" s="493"/>
      <c r="AF118" s="493"/>
      <c r="AG118" s="493"/>
      <c r="AH118" s="493"/>
      <c r="AI118" s="493"/>
      <c r="AJ118" s="493"/>
      <c r="AK118" s="493"/>
      <c r="AL118" s="493"/>
      <c r="AM118" s="493"/>
      <c r="AN118" s="493"/>
      <c r="AO118" s="493"/>
      <c r="AP118" s="493"/>
      <c r="AQ118" s="493"/>
      <c r="AR118" s="493"/>
      <c r="AS118" s="493"/>
      <c r="AT118" s="493"/>
      <c r="AU118" s="493"/>
      <c r="AV118" s="493"/>
      <c r="AW118" s="493"/>
      <c r="AX118" s="493"/>
      <c r="AY118" s="493"/>
      <c r="AZ118" s="493"/>
      <c r="BA118" s="493"/>
      <c r="BB118" s="493"/>
      <c r="BC118" s="493"/>
      <c r="BD118" s="493"/>
      <c r="BE118" s="493"/>
      <c r="BF118" s="493"/>
      <c r="BG118" s="493"/>
    </row>
    <row r="119" spans="1:59" ht="15" customHeight="1">
      <c r="A119" s="363"/>
      <c r="B119" s="371"/>
      <c r="C119" s="372"/>
      <c r="D119" s="76"/>
      <c r="F119" s="76"/>
      <c r="I119" s="76"/>
      <c r="J119" s="76"/>
      <c r="L119" s="76"/>
      <c r="O119" s="492"/>
      <c r="P119" s="516">
        <f t="shared" si="32"/>
        <v>6500</v>
      </c>
      <c r="Q119" s="517">
        <f t="shared" si="37"/>
        <v>127.20518093895312</v>
      </c>
      <c r="R119" s="517">
        <f t="shared" si="33"/>
        <v>186.88</v>
      </c>
      <c r="S119" s="516">
        <f t="shared" si="34"/>
        <v>6500</v>
      </c>
      <c r="T119" s="517">
        <f t="shared" si="35"/>
        <v>146.95791425113813</v>
      </c>
      <c r="U119" s="517">
        <f t="shared" si="36"/>
        <v>215.89918596501715</v>
      </c>
      <c r="V119" s="516">
        <f t="shared" si="29"/>
        <v>6500</v>
      </c>
      <c r="W119" s="516">
        <f t="shared" si="23"/>
        <v>161.25502387716233</v>
      </c>
      <c r="X119" s="517">
        <f t="shared" si="30"/>
        <v>236.9033921395569</v>
      </c>
      <c r="Y119" s="492"/>
      <c r="Z119" s="492"/>
      <c r="AA119" s="492"/>
      <c r="AB119" s="492"/>
      <c r="AC119" s="492"/>
      <c r="AD119" s="493"/>
      <c r="AE119" s="493"/>
      <c r="AF119" s="493"/>
      <c r="AG119" s="493"/>
      <c r="AH119" s="493"/>
      <c r="AI119" s="493"/>
      <c r="AJ119" s="493"/>
      <c r="AK119" s="493"/>
      <c r="AL119" s="493"/>
      <c r="AM119" s="493"/>
      <c r="AN119" s="493"/>
      <c r="AO119" s="493"/>
      <c r="AP119" s="493"/>
      <c r="AQ119" s="493"/>
      <c r="AR119" s="493"/>
      <c r="AS119" s="493"/>
      <c r="AT119" s="493"/>
      <c r="AU119" s="493"/>
      <c r="AV119" s="493"/>
      <c r="AW119" s="493"/>
      <c r="AX119" s="493"/>
      <c r="AY119" s="493"/>
      <c r="AZ119" s="493"/>
      <c r="BA119" s="493"/>
      <c r="BB119" s="493"/>
      <c r="BC119" s="493"/>
      <c r="BD119" s="493"/>
      <c r="BE119" s="493"/>
      <c r="BF119" s="493"/>
      <c r="BG119" s="493"/>
    </row>
    <row r="120" spans="1:59" ht="15" customHeight="1">
      <c r="A120" s="363"/>
      <c r="B120" s="371"/>
      <c r="C120" s="372"/>
      <c r="D120" s="76"/>
      <c r="F120" s="76"/>
      <c r="I120" s="76"/>
      <c r="J120" s="76"/>
      <c r="L120" s="76"/>
      <c r="O120" s="492"/>
      <c r="P120" s="516">
        <f t="shared" si="32"/>
        <v>6500</v>
      </c>
      <c r="Q120" s="517">
        <f t="shared" si="37"/>
        <v>127.20518093895312</v>
      </c>
      <c r="R120" s="517">
        <f t="shared" si="33"/>
        <v>186.88</v>
      </c>
      <c r="S120" s="516">
        <f t="shared" si="34"/>
        <v>6500</v>
      </c>
      <c r="T120" s="517">
        <f t="shared" si="35"/>
        <v>146.95791425113813</v>
      </c>
      <c r="U120" s="517">
        <f t="shared" si="36"/>
        <v>215.89918596501715</v>
      </c>
      <c r="V120" s="516">
        <f t="shared" si="29"/>
        <v>6500</v>
      </c>
      <c r="W120" s="516">
        <f t="shared" si="23"/>
        <v>161.25502387716233</v>
      </c>
      <c r="X120" s="517">
        <f t="shared" si="30"/>
        <v>236.9033921395569</v>
      </c>
      <c r="Y120" s="492"/>
      <c r="Z120" s="492"/>
      <c r="AA120" s="492"/>
      <c r="AB120" s="492"/>
      <c r="AC120" s="492"/>
      <c r="AD120" s="493"/>
      <c r="AE120" s="493"/>
      <c r="AF120" s="493"/>
      <c r="AG120" s="493"/>
      <c r="AH120" s="493"/>
      <c r="AI120" s="493"/>
      <c r="AJ120" s="493"/>
      <c r="AK120" s="493"/>
      <c r="AL120" s="493"/>
      <c r="AM120" s="493"/>
      <c r="AN120" s="493"/>
      <c r="AO120" s="493"/>
      <c r="AP120" s="493"/>
      <c r="AQ120" s="493"/>
      <c r="AR120" s="493"/>
      <c r="AS120" s="493"/>
      <c r="AT120" s="493"/>
      <c r="AU120" s="493"/>
      <c r="AV120" s="493"/>
      <c r="AW120" s="493"/>
      <c r="AX120" s="493"/>
      <c r="AY120" s="493"/>
      <c r="AZ120" s="493"/>
      <c r="BA120" s="493"/>
      <c r="BB120" s="493"/>
      <c r="BC120" s="493"/>
      <c r="BD120" s="493"/>
      <c r="BE120" s="493"/>
      <c r="BF120" s="493"/>
      <c r="BG120" s="493"/>
    </row>
    <row r="121" spans="1:59" ht="15" customHeight="1">
      <c r="A121" s="363"/>
      <c r="B121" s="371"/>
      <c r="C121" s="372"/>
      <c r="D121" s="76"/>
      <c r="F121" s="76"/>
      <c r="I121" s="76"/>
      <c r="J121" s="76"/>
      <c r="L121" s="76"/>
      <c r="O121" s="492"/>
      <c r="P121" s="516">
        <f t="shared" si="32"/>
        <v>6500</v>
      </c>
      <c r="Q121" s="517">
        <f t="shared" si="37"/>
        <v>127.20518093895312</v>
      </c>
      <c r="R121" s="517">
        <f t="shared" si="33"/>
        <v>186.88</v>
      </c>
      <c r="S121" s="516">
        <f t="shared" si="34"/>
        <v>6500</v>
      </c>
      <c r="T121" s="517">
        <f t="shared" si="35"/>
        <v>146.95791425113813</v>
      </c>
      <c r="U121" s="517">
        <f t="shared" si="36"/>
        <v>215.89918596501715</v>
      </c>
      <c r="V121" s="516">
        <f t="shared" si="29"/>
        <v>6500</v>
      </c>
      <c r="W121" s="516">
        <f t="shared" si="23"/>
        <v>161.25502387716233</v>
      </c>
      <c r="X121" s="517">
        <f t="shared" si="30"/>
        <v>236.9033921395569</v>
      </c>
      <c r="Y121" s="492"/>
      <c r="Z121" s="492"/>
      <c r="AA121" s="492"/>
      <c r="AB121" s="492"/>
      <c r="AC121" s="492"/>
      <c r="AD121" s="493"/>
      <c r="AE121" s="493"/>
      <c r="AF121" s="493"/>
      <c r="AG121" s="493"/>
      <c r="AH121" s="493"/>
      <c r="AI121" s="493"/>
      <c r="AJ121" s="493"/>
      <c r="AK121" s="493"/>
      <c r="AL121" s="493"/>
      <c r="AM121" s="493"/>
      <c r="AN121" s="493"/>
      <c r="AO121" s="493"/>
      <c r="AP121" s="493"/>
      <c r="AQ121" s="493"/>
      <c r="AR121" s="493"/>
      <c r="AS121" s="493"/>
      <c r="AT121" s="493"/>
      <c r="AU121" s="493"/>
      <c r="AV121" s="493"/>
      <c r="AW121" s="493"/>
      <c r="AX121" s="493"/>
      <c r="AY121" s="493"/>
      <c r="AZ121" s="493"/>
      <c r="BA121" s="493"/>
      <c r="BB121" s="493"/>
      <c r="BC121" s="493"/>
      <c r="BD121" s="493"/>
      <c r="BE121" s="493"/>
      <c r="BF121" s="493"/>
      <c r="BG121" s="493"/>
    </row>
    <row r="122" spans="1:59" ht="15" customHeight="1">
      <c r="A122" s="363"/>
      <c r="B122" s="371"/>
      <c r="C122" s="372"/>
      <c r="D122" s="76"/>
      <c r="F122" s="76"/>
      <c r="I122" s="76"/>
      <c r="J122" s="76"/>
      <c r="L122" s="76"/>
      <c r="O122" s="492"/>
      <c r="P122" s="516">
        <f t="shared" si="32"/>
        <v>6500</v>
      </c>
      <c r="Q122" s="517">
        <f t="shared" si="37"/>
        <v>127.20518093895312</v>
      </c>
      <c r="R122" s="517">
        <f t="shared" si="33"/>
        <v>186.88</v>
      </c>
      <c r="S122" s="516">
        <f t="shared" si="34"/>
        <v>6500</v>
      </c>
      <c r="T122" s="517">
        <f t="shared" si="35"/>
        <v>146.95791425113813</v>
      </c>
      <c r="U122" s="517">
        <f t="shared" si="36"/>
        <v>215.89918596501715</v>
      </c>
      <c r="V122" s="516">
        <f t="shared" si="29"/>
        <v>6500</v>
      </c>
      <c r="W122" s="516">
        <f t="shared" si="23"/>
        <v>161.25502387716233</v>
      </c>
      <c r="X122" s="517">
        <f t="shared" si="30"/>
        <v>236.9033921395569</v>
      </c>
      <c r="Y122" s="492"/>
      <c r="Z122" s="492"/>
      <c r="AA122" s="492"/>
      <c r="AB122" s="492"/>
      <c r="AC122" s="492"/>
      <c r="AD122" s="493"/>
      <c r="AE122" s="493"/>
      <c r="AF122" s="493"/>
      <c r="AG122" s="493"/>
      <c r="AH122" s="493"/>
      <c r="AI122" s="493"/>
      <c r="AJ122" s="493"/>
      <c r="AK122" s="493"/>
      <c r="AL122" s="493"/>
      <c r="AM122" s="493"/>
      <c r="AN122" s="493"/>
      <c r="AO122" s="493"/>
      <c r="AP122" s="493"/>
      <c r="AQ122" s="493"/>
      <c r="AR122" s="493"/>
      <c r="AS122" s="493"/>
      <c r="AT122" s="493"/>
      <c r="AU122" s="493"/>
      <c r="AV122" s="493"/>
      <c r="AW122" s="493"/>
      <c r="AX122" s="493"/>
      <c r="AY122" s="493"/>
      <c r="AZ122" s="493"/>
      <c r="BA122" s="493"/>
      <c r="BB122" s="493"/>
      <c r="BC122" s="493"/>
      <c r="BD122" s="493"/>
      <c r="BE122" s="493"/>
      <c r="BF122" s="493"/>
      <c r="BG122" s="493"/>
    </row>
    <row r="123" spans="1:59" ht="15" customHeight="1">
      <c r="A123" s="363"/>
      <c r="B123" s="371"/>
      <c r="C123" s="372"/>
      <c r="D123" s="76"/>
      <c r="F123" s="76"/>
      <c r="I123" s="76"/>
      <c r="J123" s="76"/>
      <c r="L123" s="76"/>
      <c r="O123" s="492"/>
      <c r="P123" s="516">
        <f t="shared" si="32"/>
        <v>6500</v>
      </c>
      <c r="Q123" s="517">
        <f t="shared" si="37"/>
        <v>127.20518093895312</v>
      </c>
      <c r="R123" s="517">
        <f t="shared" si="33"/>
        <v>186.88</v>
      </c>
      <c r="S123" s="516">
        <f t="shared" si="34"/>
        <v>6500</v>
      </c>
      <c r="T123" s="517">
        <f t="shared" si="35"/>
        <v>146.95791425113813</v>
      </c>
      <c r="U123" s="517">
        <f t="shared" si="36"/>
        <v>215.89918596501715</v>
      </c>
      <c r="V123" s="516">
        <f t="shared" si="29"/>
        <v>6500</v>
      </c>
      <c r="W123" s="516">
        <f t="shared" si="23"/>
        <v>161.25502387716233</v>
      </c>
      <c r="X123" s="517">
        <f t="shared" si="30"/>
        <v>236.9033921395569</v>
      </c>
      <c r="Y123" s="492"/>
      <c r="Z123" s="492"/>
      <c r="AA123" s="492"/>
      <c r="AB123" s="492"/>
      <c r="AC123" s="492"/>
      <c r="AD123" s="493"/>
      <c r="AE123" s="493"/>
      <c r="AF123" s="493"/>
      <c r="AG123" s="493"/>
      <c r="AH123" s="493"/>
      <c r="AI123" s="493"/>
      <c r="AJ123" s="493"/>
      <c r="AK123" s="493"/>
      <c r="AL123" s="493"/>
      <c r="AM123" s="493"/>
      <c r="AN123" s="493"/>
      <c r="AO123" s="493"/>
      <c r="AP123" s="493"/>
      <c r="AQ123" s="493"/>
      <c r="AR123" s="493"/>
      <c r="AS123" s="493"/>
      <c r="AT123" s="493"/>
      <c r="AU123" s="493"/>
      <c r="AV123" s="493"/>
      <c r="AW123" s="493"/>
      <c r="AX123" s="493"/>
      <c r="AY123" s="493"/>
      <c r="AZ123" s="493"/>
      <c r="BA123" s="493"/>
      <c r="BB123" s="493"/>
      <c r="BC123" s="493"/>
      <c r="BD123" s="493"/>
      <c r="BE123" s="493"/>
      <c r="BF123" s="493"/>
      <c r="BG123" s="493"/>
    </row>
    <row r="124" spans="1:59" ht="15" customHeight="1">
      <c r="A124" s="363"/>
      <c r="B124" s="371"/>
      <c r="C124" s="372"/>
      <c r="D124" s="76"/>
      <c r="F124" s="76"/>
      <c r="I124" s="76"/>
      <c r="J124" s="76"/>
      <c r="L124" s="76"/>
      <c r="O124" s="492"/>
      <c r="P124" s="516">
        <f t="shared" si="32"/>
        <v>6500</v>
      </c>
      <c r="Q124" s="517">
        <f t="shared" si="37"/>
        <v>127.20518093895312</v>
      </c>
      <c r="R124" s="517">
        <f t="shared" si="33"/>
        <v>186.88</v>
      </c>
      <c r="S124" s="516">
        <f t="shared" si="34"/>
        <v>6500</v>
      </c>
      <c r="T124" s="517">
        <f t="shared" si="35"/>
        <v>146.95791425113813</v>
      </c>
      <c r="U124" s="517">
        <f t="shared" si="36"/>
        <v>215.89918596501715</v>
      </c>
      <c r="V124" s="516">
        <f t="shared" si="29"/>
        <v>6500</v>
      </c>
      <c r="W124" s="516">
        <f t="shared" si="23"/>
        <v>161.25502387716233</v>
      </c>
      <c r="X124" s="517">
        <f t="shared" si="30"/>
        <v>236.9033921395569</v>
      </c>
      <c r="Y124" s="492"/>
      <c r="Z124" s="492"/>
      <c r="AA124" s="492"/>
      <c r="AB124" s="492"/>
      <c r="AC124" s="492"/>
      <c r="AD124" s="493"/>
      <c r="AE124" s="493"/>
      <c r="AF124" s="493"/>
      <c r="AG124" s="493"/>
      <c r="AH124" s="493"/>
      <c r="AI124" s="493"/>
      <c r="AJ124" s="493"/>
      <c r="AK124" s="493"/>
      <c r="AL124" s="493"/>
      <c r="AM124" s="493"/>
      <c r="AN124" s="493"/>
      <c r="AO124" s="493"/>
      <c r="AP124" s="493"/>
      <c r="AQ124" s="493"/>
      <c r="AR124" s="493"/>
      <c r="AS124" s="493"/>
      <c r="AT124" s="493"/>
      <c r="AU124" s="493"/>
      <c r="AV124" s="493"/>
      <c r="AW124" s="493"/>
      <c r="AX124" s="493"/>
      <c r="AY124" s="493"/>
      <c r="AZ124" s="493"/>
      <c r="BA124" s="493"/>
      <c r="BB124" s="493"/>
      <c r="BC124" s="493"/>
      <c r="BD124" s="493"/>
      <c r="BE124" s="493"/>
      <c r="BF124" s="493"/>
      <c r="BG124" s="493"/>
    </row>
    <row r="125" spans="1:59" ht="15" customHeight="1">
      <c r="A125" s="363"/>
      <c r="B125" s="371"/>
      <c r="C125" s="372"/>
      <c r="D125" s="76"/>
      <c r="F125" s="76"/>
      <c r="I125" s="76"/>
      <c r="J125" s="76"/>
      <c r="L125" s="76"/>
      <c r="O125" s="492"/>
      <c r="P125" s="516">
        <f t="shared" si="32"/>
        <v>6500</v>
      </c>
      <c r="Q125" s="517">
        <f t="shared" si="37"/>
        <v>127.20518093895312</v>
      </c>
      <c r="R125" s="517">
        <f t="shared" si="33"/>
        <v>186.88</v>
      </c>
      <c r="S125" s="516">
        <f t="shared" si="34"/>
        <v>6500</v>
      </c>
      <c r="T125" s="517">
        <f t="shared" si="35"/>
        <v>146.95791425113813</v>
      </c>
      <c r="U125" s="517">
        <f t="shared" si="36"/>
        <v>215.89918596501715</v>
      </c>
      <c r="V125" s="516">
        <f t="shared" si="29"/>
        <v>6500</v>
      </c>
      <c r="W125" s="516">
        <f t="shared" si="23"/>
        <v>161.25502387716233</v>
      </c>
      <c r="X125" s="517">
        <f t="shared" si="30"/>
        <v>236.9033921395569</v>
      </c>
      <c r="Y125" s="492"/>
      <c r="Z125" s="492"/>
      <c r="AA125" s="492"/>
      <c r="AB125" s="492"/>
      <c r="AC125" s="492"/>
      <c r="AD125" s="493"/>
      <c r="AE125" s="493"/>
      <c r="AF125" s="493"/>
      <c r="AG125" s="493"/>
      <c r="AH125" s="493"/>
      <c r="AI125" s="493"/>
      <c r="AJ125" s="493"/>
      <c r="AK125" s="493"/>
      <c r="AL125" s="493"/>
      <c r="AM125" s="493"/>
      <c r="AN125" s="493"/>
      <c r="AO125" s="493"/>
      <c r="AP125" s="493"/>
      <c r="AQ125" s="493"/>
      <c r="AR125" s="493"/>
      <c r="AS125" s="493"/>
      <c r="AT125" s="493"/>
      <c r="AU125" s="493"/>
      <c r="AV125" s="493"/>
      <c r="AW125" s="493"/>
      <c r="AX125" s="493"/>
      <c r="AY125" s="493"/>
      <c r="AZ125" s="493"/>
      <c r="BA125" s="493"/>
      <c r="BB125" s="493"/>
      <c r="BC125" s="493"/>
      <c r="BD125" s="493"/>
      <c r="BE125" s="493"/>
      <c r="BF125" s="493"/>
      <c r="BG125" s="493"/>
    </row>
    <row r="126" spans="1:59" ht="15" customHeight="1">
      <c r="A126" s="363"/>
      <c r="B126" s="371"/>
      <c r="C126" s="372"/>
      <c r="D126" s="76"/>
      <c r="F126" s="76"/>
      <c r="I126" s="76"/>
      <c r="J126" s="76"/>
      <c r="L126" s="76"/>
      <c r="O126" s="492"/>
      <c r="P126" s="516">
        <f t="shared" si="32"/>
        <v>6500</v>
      </c>
      <c r="Q126" s="517">
        <f t="shared" si="37"/>
        <v>127.20518093895312</v>
      </c>
      <c r="R126" s="517">
        <f t="shared" si="33"/>
        <v>186.88</v>
      </c>
      <c r="S126" s="516">
        <f t="shared" si="34"/>
        <v>6500</v>
      </c>
      <c r="T126" s="517">
        <f t="shared" si="35"/>
        <v>146.95791425113813</v>
      </c>
      <c r="U126" s="517">
        <f t="shared" si="36"/>
        <v>215.89918596501715</v>
      </c>
      <c r="V126" s="516">
        <f t="shared" si="29"/>
        <v>6500</v>
      </c>
      <c r="W126" s="516">
        <f t="shared" si="23"/>
        <v>161.25502387716233</v>
      </c>
      <c r="X126" s="517">
        <f t="shared" si="30"/>
        <v>236.9033921395569</v>
      </c>
      <c r="Y126" s="492"/>
      <c r="Z126" s="492"/>
      <c r="AA126" s="492"/>
      <c r="AB126" s="492"/>
      <c r="AC126" s="492"/>
      <c r="AD126" s="493"/>
      <c r="AE126" s="493"/>
      <c r="AF126" s="493"/>
      <c r="AG126" s="493"/>
      <c r="AH126" s="493"/>
      <c r="AI126" s="493"/>
      <c r="AJ126" s="493"/>
      <c r="AK126" s="493"/>
      <c r="AL126" s="493"/>
      <c r="AM126" s="493"/>
      <c r="AN126" s="493"/>
      <c r="AO126" s="493"/>
      <c r="AP126" s="493"/>
      <c r="AQ126" s="493"/>
      <c r="AR126" s="493"/>
      <c r="AS126" s="493"/>
      <c r="AT126" s="493"/>
      <c r="AU126" s="493"/>
      <c r="AV126" s="493"/>
      <c r="AW126" s="493"/>
      <c r="AX126" s="493"/>
      <c r="AY126" s="493"/>
      <c r="AZ126" s="493"/>
      <c r="BA126" s="493"/>
      <c r="BB126" s="493"/>
      <c r="BC126" s="493"/>
      <c r="BD126" s="493"/>
      <c r="BE126" s="493"/>
      <c r="BF126" s="493"/>
      <c r="BG126" s="493"/>
    </row>
    <row r="127" spans="1:59" ht="15" customHeight="1">
      <c r="A127" s="363"/>
      <c r="B127" s="371"/>
      <c r="C127" s="372"/>
      <c r="D127" s="76"/>
      <c r="F127" s="76"/>
      <c r="I127" s="76"/>
      <c r="J127" s="76"/>
      <c r="L127" s="76"/>
      <c r="O127" s="492"/>
      <c r="P127" s="516">
        <f t="shared" si="32"/>
        <v>6500</v>
      </c>
      <c r="Q127" s="517">
        <f t="shared" si="37"/>
        <v>127.20518093895312</v>
      </c>
      <c r="R127" s="517">
        <f t="shared" si="33"/>
        <v>186.88</v>
      </c>
      <c r="S127" s="516">
        <f t="shared" si="34"/>
        <v>6500</v>
      </c>
      <c r="T127" s="517">
        <f t="shared" si="35"/>
        <v>146.95791425113813</v>
      </c>
      <c r="U127" s="517">
        <f t="shared" si="36"/>
        <v>215.89918596501715</v>
      </c>
      <c r="V127" s="516">
        <f t="shared" si="29"/>
        <v>6500</v>
      </c>
      <c r="W127" s="516">
        <f t="shared" si="23"/>
        <v>161.25502387716233</v>
      </c>
      <c r="X127" s="517">
        <f t="shared" si="30"/>
        <v>236.9033921395569</v>
      </c>
      <c r="Y127" s="492"/>
      <c r="Z127" s="492"/>
      <c r="AA127" s="492"/>
      <c r="AB127" s="492"/>
      <c r="AC127" s="492"/>
      <c r="AD127" s="493"/>
      <c r="AE127" s="493"/>
      <c r="AF127" s="493"/>
      <c r="AG127" s="493"/>
      <c r="AH127" s="493"/>
      <c r="AI127" s="493"/>
      <c r="AJ127" s="493"/>
      <c r="AK127" s="493"/>
      <c r="AL127" s="493"/>
      <c r="AM127" s="493"/>
      <c r="AN127" s="493"/>
      <c r="AO127" s="493"/>
      <c r="AP127" s="493"/>
      <c r="AQ127" s="493"/>
      <c r="AR127" s="493"/>
      <c r="AS127" s="493"/>
      <c r="AT127" s="493"/>
      <c r="AU127" s="493"/>
      <c r="AV127" s="493"/>
      <c r="AW127" s="493"/>
      <c r="AX127" s="493"/>
      <c r="AY127" s="493"/>
      <c r="AZ127" s="493"/>
      <c r="BA127" s="493"/>
      <c r="BB127" s="493"/>
      <c r="BC127" s="493"/>
      <c r="BD127" s="493"/>
      <c r="BE127" s="493"/>
      <c r="BF127" s="493"/>
      <c r="BG127" s="493"/>
    </row>
    <row r="128" spans="1:59" ht="15" customHeight="1">
      <c r="A128" s="363"/>
      <c r="B128" s="371"/>
      <c r="C128" s="372"/>
      <c r="D128" s="76"/>
      <c r="F128" s="76"/>
      <c r="I128" s="76"/>
      <c r="J128" s="76"/>
      <c r="L128" s="76"/>
      <c r="O128" s="492"/>
      <c r="P128" s="516">
        <f t="shared" si="32"/>
        <v>6500</v>
      </c>
      <c r="Q128" s="517">
        <f t="shared" si="37"/>
        <v>127.20518093895312</v>
      </c>
      <c r="R128" s="517">
        <f t="shared" si="33"/>
        <v>186.88</v>
      </c>
      <c r="S128" s="516">
        <f t="shared" si="34"/>
        <v>6500</v>
      </c>
      <c r="T128" s="517">
        <f t="shared" si="35"/>
        <v>146.95791425113813</v>
      </c>
      <c r="U128" s="517">
        <f t="shared" si="36"/>
        <v>215.89918596501715</v>
      </c>
      <c r="V128" s="516">
        <f t="shared" si="29"/>
        <v>6500</v>
      </c>
      <c r="W128" s="516">
        <f t="shared" si="23"/>
        <v>161.25502387716233</v>
      </c>
      <c r="X128" s="517">
        <f t="shared" si="30"/>
        <v>236.9033921395569</v>
      </c>
      <c r="Y128" s="492"/>
      <c r="Z128" s="492"/>
      <c r="AA128" s="492"/>
      <c r="AB128" s="492"/>
      <c r="AC128" s="492"/>
      <c r="AD128" s="493"/>
      <c r="AE128" s="493"/>
      <c r="AF128" s="493"/>
      <c r="AG128" s="493"/>
      <c r="AH128" s="493"/>
      <c r="AI128" s="493"/>
      <c r="AJ128" s="493"/>
      <c r="AK128" s="493"/>
      <c r="AL128" s="493"/>
      <c r="AM128" s="493"/>
      <c r="AN128" s="493"/>
      <c r="AO128" s="493"/>
      <c r="AP128" s="493"/>
      <c r="AQ128" s="493"/>
      <c r="AR128" s="493"/>
      <c r="AS128" s="493"/>
      <c r="AT128" s="493"/>
      <c r="AU128" s="493"/>
      <c r="AV128" s="493"/>
      <c r="AW128" s="493"/>
      <c r="AX128" s="493"/>
      <c r="AY128" s="493"/>
      <c r="AZ128" s="493"/>
      <c r="BA128" s="493"/>
      <c r="BB128" s="493"/>
      <c r="BC128" s="493"/>
      <c r="BD128" s="493"/>
      <c r="BE128" s="493"/>
      <c r="BF128" s="493"/>
      <c r="BG128" s="493"/>
    </row>
    <row r="129" spans="1:59" ht="15" customHeight="1">
      <c r="A129" s="363"/>
      <c r="B129" s="371"/>
      <c r="C129" s="372"/>
      <c r="D129" s="76"/>
      <c r="F129" s="76"/>
      <c r="I129" s="76"/>
      <c r="J129" s="76"/>
      <c r="L129" s="76"/>
      <c r="O129" s="492"/>
      <c r="P129" s="516">
        <f t="shared" si="32"/>
        <v>6500</v>
      </c>
      <c r="Q129" s="517">
        <f t="shared" si="37"/>
        <v>127.20518093895312</v>
      </c>
      <c r="R129" s="517">
        <f t="shared" si="33"/>
        <v>186.88</v>
      </c>
      <c r="S129" s="516">
        <f t="shared" si="34"/>
        <v>6500</v>
      </c>
      <c r="T129" s="517">
        <f t="shared" si="35"/>
        <v>146.95791425113813</v>
      </c>
      <c r="U129" s="517">
        <f t="shared" si="36"/>
        <v>215.89918596501715</v>
      </c>
      <c r="V129" s="516">
        <f t="shared" si="29"/>
        <v>6500</v>
      </c>
      <c r="W129" s="516">
        <f t="shared" si="23"/>
        <v>161.25502387716233</v>
      </c>
      <c r="X129" s="517">
        <f t="shared" si="30"/>
        <v>236.9033921395569</v>
      </c>
      <c r="Y129" s="492"/>
      <c r="Z129" s="492"/>
      <c r="AA129" s="492"/>
      <c r="AB129" s="492"/>
      <c r="AC129" s="492"/>
      <c r="AD129" s="493"/>
      <c r="AE129" s="493"/>
      <c r="AF129" s="493"/>
      <c r="AG129" s="493"/>
      <c r="AH129" s="493"/>
      <c r="AI129" s="493"/>
      <c r="AJ129" s="493"/>
      <c r="AK129" s="493"/>
      <c r="AL129" s="493"/>
      <c r="AM129" s="493"/>
      <c r="AN129" s="493"/>
      <c r="AO129" s="493"/>
      <c r="AP129" s="493"/>
      <c r="AQ129" s="493"/>
      <c r="AR129" s="493"/>
      <c r="AS129" s="493"/>
      <c r="AT129" s="493"/>
      <c r="AU129" s="493"/>
      <c r="AV129" s="493"/>
      <c r="AW129" s="493"/>
      <c r="AX129" s="493"/>
      <c r="AY129" s="493"/>
      <c r="AZ129" s="493"/>
      <c r="BA129" s="493"/>
      <c r="BB129" s="493"/>
      <c r="BC129" s="493"/>
      <c r="BD129" s="493"/>
      <c r="BE129" s="493"/>
      <c r="BF129" s="493"/>
      <c r="BG129" s="493"/>
    </row>
    <row r="130" spans="1:59" ht="15" customHeight="1">
      <c r="A130" s="363"/>
      <c r="B130" s="371"/>
      <c r="C130" s="372"/>
      <c r="D130" s="76"/>
      <c r="F130" s="76"/>
      <c r="I130" s="76"/>
      <c r="J130" s="76"/>
      <c r="L130" s="76"/>
      <c r="O130" s="492"/>
      <c r="P130" s="516">
        <f t="shared" si="32"/>
        <v>6500</v>
      </c>
      <c r="Q130" s="517">
        <f t="shared" si="37"/>
        <v>127.20518093895312</v>
      </c>
      <c r="R130" s="517">
        <f t="shared" si="33"/>
        <v>186.88</v>
      </c>
      <c r="S130" s="516">
        <f t="shared" si="34"/>
        <v>6500</v>
      </c>
      <c r="T130" s="517">
        <f t="shared" si="35"/>
        <v>146.95791425113813</v>
      </c>
      <c r="U130" s="517">
        <f t="shared" si="36"/>
        <v>215.89918596501715</v>
      </c>
      <c r="V130" s="516">
        <f t="shared" si="29"/>
        <v>6500</v>
      </c>
      <c r="W130" s="516">
        <f t="shared" si="23"/>
        <v>161.25502387716233</v>
      </c>
      <c r="X130" s="517">
        <f t="shared" si="30"/>
        <v>236.9033921395569</v>
      </c>
      <c r="Y130" s="492"/>
      <c r="Z130" s="492"/>
      <c r="AA130" s="492"/>
      <c r="AB130" s="492"/>
      <c r="AC130" s="492"/>
      <c r="AD130" s="493"/>
      <c r="AE130" s="493"/>
      <c r="AF130" s="493"/>
      <c r="AG130" s="493"/>
      <c r="AH130" s="493"/>
      <c r="AI130" s="493"/>
      <c r="AJ130" s="493"/>
      <c r="AK130" s="493"/>
      <c r="AL130" s="493"/>
      <c r="AM130" s="493"/>
      <c r="AN130" s="493"/>
      <c r="AO130" s="493"/>
      <c r="AP130" s="493"/>
      <c r="AQ130" s="493"/>
      <c r="AR130" s="493"/>
      <c r="AS130" s="493"/>
      <c r="AT130" s="493"/>
      <c r="AU130" s="493"/>
      <c r="AV130" s="493"/>
      <c r="AW130" s="493"/>
      <c r="AX130" s="493"/>
      <c r="AY130" s="493"/>
      <c r="AZ130" s="493"/>
      <c r="BA130" s="493"/>
      <c r="BB130" s="493"/>
      <c r="BC130" s="493"/>
      <c r="BD130" s="493"/>
      <c r="BE130" s="493"/>
      <c r="BF130" s="493"/>
      <c r="BG130" s="493"/>
    </row>
    <row r="131" spans="1:59" ht="15" customHeight="1">
      <c r="A131" s="363"/>
      <c r="B131" s="371"/>
      <c r="C131" s="372"/>
      <c r="D131" s="76"/>
      <c r="F131" s="76"/>
      <c r="I131" s="76"/>
      <c r="J131" s="76"/>
      <c r="L131" s="76"/>
      <c r="O131" s="492"/>
      <c r="P131" s="516">
        <f t="shared" si="32"/>
        <v>6500</v>
      </c>
      <c r="Q131" s="517">
        <f t="shared" si="37"/>
        <v>127.20518093895312</v>
      </c>
      <c r="R131" s="517">
        <f>R130*(P130/P131)^(1+$AD$87)</f>
        <v>186.88</v>
      </c>
      <c r="S131" s="516">
        <f t="shared" si="34"/>
        <v>6500</v>
      </c>
      <c r="T131" s="517">
        <f t="shared" si="35"/>
        <v>146.95791425113813</v>
      </c>
      <c r="U131" s="517">
        <f>U130*(S130/S131)^(1+$AD$87)</f>
        <v>215.89918596501715</v>
      </c>
      <c r="V131" s="516">
        <f t="shared" si="29"/>
        <v>6500</v>
      </c>
      <c r="W131" s="516">
        <f t="shared" si="23"/>
        <v>161.25502387716233</v>
      </c>
      <c r="X131" s="517">
        <f>X130*(V130/V131)^(1+$AD$87)</f>
        <v>236.9033921395569</v>
      </c>
      <c r="Y131" s="492"/>
      <c r="Z131" s="492"/>
      <c r="AA131" s="492"/>
      <c r="AB131" s="492"/>
      <c r="AC131" s="492"/>
      <c r="AD131" s="493"/>
      <c r="AE131" s="493"/>
      <c r="AF131" s="493"/>
      <c r="AG131" s="493"/>
      <c r="AH131" s="493"/>
      <c r="AI131" s="493"/>
      <c r="AJ131" s="493"/>
      <c r="AK131" s="493"/>
      <c r="AL131" s="493"/>
      <c r="AM131" s="493"/>
      <c r="AN131" s="493"/>
      <c r="AO131" s="493"/>
      <c r="AP131" s="493"/>
      <c r="AQ131" s="493"/>
      <c r="AR131" s="493"/>
      <c r="AS131" s="493"/>
      <c r="AT131" s="493"/>
      <c r="AU131" s="493"/>
      <c r="AV131" s="493"/>
      <c r="AW131" s="493"/>
      <c r="AX131" s="493"/>
      <c r="AY131" s="493"/>
      <c r="AZ131" s="493"/>
      <c r="BA131" s="493"/>
      <c r="BB131" s="493"/>
      <c r="BC131" s="493"/>
      <c r="BD131" s="493"/>
      <c r="BE131" s="493"/>
      <c r="BF131" s="493"/>
      <c r="BG131" s="493"/>
    </row>
    <row r="132" spans="1:59" ht="15" customHeight="1">
      <c r="A132" s="363"/>
      <c r="B132" s="371"/>
      <c r="C132" s="372"/>
      <c r="D132" s="76"/>
      <c r="F132" s="76"/>
      <c r="I132" s="76"/>
      <c r="J132" s="76"/>
      <c r="L132" s="76"/>
      <c r="O132" s="492"/>
      <c r="P132" s="516"/>
      <c r="Q132" s="517"/>
      <c r="R132" s="517"/>
      <c r="S132" s="517"/>
      <c r="T132" s="517"/>
      <c r="U132" s="516"/>
      <c r="V132" s="516"/>
      <c r="W132" s="492"/>
      <c r="X132" s="492"/>
      <c r="Y132" s="492"/>
      <c r="Z132" s="492"/>
      <c r="AA132" s="492"/>
      <c r="AB132" s="492"/>
      <c r="AC132" s="492"/>
      <c r="AD132" s="493"/>
      <c r="AE132" s="493"/>
      <c r="AF132" s="493"/>
      <c r="AG132" s="493"/>
      <c r="AH132" s="493"/>
      <c r="AI132" s="493"/>
      <c r="AJ132" s="493"/>
      <c r="AK132" s="493"/>
      <c r="AL132" s="493"/>
      <c r="AM132" s="493"/>
      <c r="AN132" s="493"/>
      <c r="AO132" s="493"/>
      <c r="AP132" s="493"/>
      <c r="AQ132" s="493"/>
      <c r="AR132" s="493"/>
      <c r="AS132" s="493"/>
      <c r="AT132" s="493"/>
      <c r="AU132" s="493"/>
      <c r="AV132" s="493"/>
      <c r="AW132" s="493"/>
      <c r="AX132" s="493"/>
      <c r="AY132" s="493"/>
      <c r="AZ132" s="493"/>
      <c r="BA132" s="493"/>
      <c r="BB132" s="493"/>
      <c r="BC132" s="493"/>
      <c r="BD132" s="493"/>
      <c r="BE132" s="493"/>
      <c r="BF132" s="493"/>
      <c r="BG132" s="493"/>
    </row>
    <row r="133" spans="1:59" ht="15" customHeight="1">
      <c r="A133" s="363"/>
      <c r="B133" s="371"/>
      <c r="C133" s="372"/>
      <c r="D133" s="76"/>
      <c r="F133" s="76"/>
      <c r="I133" s="76"/>
      <c r="J133" s="76"/>
      <c r="L133" s="76"/>
      <c r="O133" s="492"/>
      <c r="P133" s="516"/>
      <c r="Q133" s="517"/>
      <c r="R133" s="517"/>
      <c r="S133" s="517"/>
      <c r="T133" s="517"/>
      <c r="U133" s="516"/>
      <c r="V133" s="516"/>
      <c r="W133" s="492"/>
      <c r="X133" s="492"/>
      <c r="Y133" s="492"/>
      <c r="Z133" s="492"/>
      <c r="AA133" s="492"/>
      <c r="AB133" s="492"/>
      <c r="AC133" s="492"/>
      <c r="AD133" s="493"/>
      <c r="AE133" s="493"/>
      <c r="AF133" s="493"/>
      <c r="AG133" s="493"/>
      <c r="AH133" s="493"/>
      <c r="AI133" s="493"/>
      <c r="AJ133" s="493"/>
      <c r="AK133" s="493"/>
      <c r="AL133" s="493"/>
      <c r="AM133" s="493"/>
      <c r="AN133" s="493"/>
      <c r="AO133" s="493"/>
      <c r="AP133" s="493"/>
      <c r="AQ133" s="493"/>
      <c r="AR133" s="493"/>
      <c r="AS133" s="493"/>
      <c r="AT133" s="493"/>
      <c r="AU133" s="493"/>
      <c r="AV133" s="493"/>
      <c r="AW133" s="493"/>
      <c r="AX133" s="493"/>
      <c r="AY133" s="493"/>
      <c r="AZ133" s="493"/>
      <c r="BA133" s="493"/>
      <c r="BB133" s="493"/>
      <c r="BC133" s="493"/>
      <c r="BD133" s="493"/>
      <c r="BE133" s="493"/>
      <c r="BF133" s="493"/>
      <c r="BG133" s="493"/>
    </row>
    <row r="134" spans="1:59" ht="15" customHeight="1">
      <c r="A134" s="363"/>
      <c r="B134" s="371"/>
      <c r="C134" s="372"/>
      <c r="D134" s="76"/>
      <c r="F134" s="76"/>
      <c r="I134" s="76"/>
      <c r="J134" s="76"/>
      <c r="L134" s="76"/>
      <c r="O134" s="492"/>
      <c r="P134" s="516"/>
      <c r="Q134" s="517"/>
      <c r="R134" s="517"/>
      <c r="S134" s="517"/>
      <c r="T134" s="517"/>
      <c r="U134" s="516"/>
      <c r="V134" s="516"/>
      <c r="W134" s="492"/>
      <c r="X134" s="492"/>
      <c r="Y134" s="492"/>
      <c r="Z134" s="492"/>
      <c r="AA134" s="492"/>
      <c r="AB134" s="492"/>
      <c r="AC134" s="492"/>
      <c r="AD134" s="493"/>
      <c r="AE134" s="493"/>
      <c r="AF134" s="493"/>
      <c r="AG134" s="493"/>
      <c r="AH134" s="493"/>
      <c r="AI134" s="493"/>
      <c r="AJ134" s="493"/>
      <c r="AK134" s="493"/>
      <c r="AL134" s="493"/>
      <c r="AM134" s="493"/>
      <c r="AN134" s="493"/>
      <c r="AO134" s="493"/>
      <c r="AP134" s="493"/>
      <c r="AQ134" s="493"/>
      <c r="AR134" s="493"/>
      <c r="AS134" s="493"/>
      <c r="AT134" s="493"/>
      <c r="AU134" s="493"/>
      <c r="AV134" s="493"/>
      <c r="AW134" s="493"/>
      <c r="AX134" s="493"/>
      <c r="AY134" s="493"/>
      <c r="AZ134" s="493"/>
      <c r="BA134" s="493"/>
      <c r="BB134" s="493"/>
      <c r="BC134" s="493"/>
      <c r="BD134" s="493"/>
      <c r="BE134" s="493"/>
      <c r="BF134" s="493"/>
      <c r="BG134" s="493"/>
    </row>
    <row r="135" spans="1:59" ht="15" customHeight="1" thickBot="1">
      <c r="A135" s="366"/>
      <c r="B135" s="373"/>
      <c r="C135" s="374"/>
      <c r="D135" s="76"/>
      <c r="F135" s="76"/>
      <c r="I135" s="76"/>
      <c r="J135" s="76"/>
      <c r="L135" s="76"/>
      <c r="O135" s="492"/>
      <c r="P135" s="516"/>
      <c r="Q135" s="517"/>
      <c r="R135" s="517"/>
      <c r="S135" s="517"/>
      <c r="T135" s="517"/>
      <c r="U135" s="516"/>
      <c r="V135" s="516"/>
      <c r="W135" s="492"/>
      <c r="X135" s="492"/>
      <c r="Y135" s="492"/>
      <c r="Z135" s="492"/>
      <c r="AA135" s="492"/>
      <c r="AB135" s="492"/>
      <c r="AC135" s="492"/>
      <c r="AD135" s="493"/>
      <c r="AE135" s="493"/>
      <c r="AF135" s="493"/>
      <c r="AG135" s="493"/>
      <c r="AH135" s="493"/>
      <c r="AI135" s="493"/>
      <c r="AJ135" s="493"/>
      <c r="AK135" s="493"/>
      <c r="AL135" s="493"/>
      <c r="AM135" s="493"/>
      <c r="AN135" s="493"/>
      <c r="AO135" s="493"/>
      <c r="AP135" s="493"/>
      <c r="AQ135" s="493"/>
      <c r="AR135" s="493"/>
      <c r="AS135" s="493"/>
      <c r="AT135" s="493"/>
      <c r="AU135" s="493"/>
      <c r="AV135" s="493"/>
      <c r="AW135" s="493"/>
      <c r="AX135" s="493"/>
      <c r="AY135" s="493"/>
      <c r="AZ135" s="493"/>
      <c r="BA135" s="493"/>
      <c r="BB135" s="493"/>
      <c r="BC135" s="493"/>
      <c r="BD135" s="493"/>
      <c r="BE135" s="493"/>
      <c r="BF135" s="493"/>
      <c r="BG135" s="493"/>
    </row>
    <row r="136" spans="1:59" ht="15" customHeight="1">
      <c r="A136" s="191">
        <f>MAX(A112,IF(A116="",0,MAX(A116:A135)))</f>
        <v>0</v>
      </c>
      <c r="B136" s="192"/>
      <c r="C136" s="192"/>
      <c r="O136" s="492"/>
      <c r="P136" s="492"/>
      <c r="Q136" s="492"/>
      <c r="R136" s="492"/>
      <c r="S136" s="492"/>
      <c r="T136" s="492"/>
      <c r="U136" s="492"/>
      <c r="V136" s="492"/>
      <c r="W136" s="492"/>
      <c r="X136" s="492"/>
      <c r="Y136" s="492"/>
      <c r="Z136" s="492"/>
      <c r="AA136" s="492"/>
      <c r="AB136" s="492"/>
      <c r="AC136" s="492"/>
      <c r="AD136" s="493"/>
      <c r="AE136" s="493"/>
      <c r="AF136" s="493"/>
      <c r="AG136" s="493"/>
      <c r="AH136" s="493"/>
      <c r="AI136" s="493"/>
      <c r="AJ136" s="493"/>
      <c r="AK136" s="493"/>
      <c r="AL136" s="493"/>
      <c r="AM136" s="493"/>
      <c r="AN136" s="493"/>
      <c r="AO136" s="493"/>
      <c r="AP136" s="493"/>
      <c r="AQ136" s="493"/>
      <c r="AR136" s="493"/>
      <c r="AS136" s="493"/>
      <c r="AT136" s="493"/>
      <c r="AU136" s="493"/>
      <c r="AV136" s="493"/>
      <c r="AW136" s="493"/>
      <c r="AX136" s="493"/>
      <c r="AY136" s="493"/>
      <c r="AZ136" s="493"/>
      <c r="BA136" s="493"/>
      <c r="BB136" s="493"/>
      <c r="BC136" s="493"/>
      <c r="BD136" s="493"/>
      <c r="BE136" s="493"/>
      <c r="BF136" s="493"/>
      <c r="BG136" s="493"/>
    </row>
    <row r="137" spans="1:59" ht="15" customHeight="1" thickBot="1">
      <c r="O137" s="492"/>
      <c r="P137" s="492"/>
      <c r="Q137" s="492"/>
      <c r="R137" s="492"/>
      <c r="S137" s="492"/>
      <c r="T137" s="492"/>
      <c r="U137" s="492"/>
      <c r="V137" s="492"/>
      <c r="W137" s="492"/>
      <c r="X137" s="492"/>
      <c r="Y137" s="492"/>
      <c r="Z137" s="492"/>
      <c r="AA137" s="492"/>
      <c r="AB137" s="492"/>
      <c r="AC137" s="492"/>
      <c r="AD137" s="493"/>
      <c r="AE137" s="493"/>
      <c r="AF137" s="493"/>
      <c r="AG137" s="493"/>
      <c r="AH137" s="493"/>
      <c r="AI137" s="493"/>
      <c r="AJ137" s="493"/>
      <c r="AK137" s="493"/>
      <c r="AL137" s="493"/>
      <c r="AM137" s="493"/>
      <c r="AN137" s="493"/>
      <c r="AO137" s="493"/>
      <c r="AP137" s="493"/>
      <c r="AQ137" s="493"/>
      <c r="AR137" s="493"/>
      <c r="AS137" s="493"/>
      <c r="AT137" s="493"/>
      <c r="AU137" s="493"/>
      <c r="AV137" s="493"/>
      <c r="AW137" s="493"/>
      <c r="AX137" s="493"/>
      <c r="AY137" s="493"/>
      <c r="AZ137" s="493"/>
      <c r="BA137" s="493"/>
      <c r="BB137" s="493"/>
      <c r="BC137" s="493"/>
      <c r="BD137" s="493"/>
      <c r="BE137" s="493"/>
      <c r="BF137" s="493"/>
      <c r="BG137" s="493"/>
    </row>
    <row r="138" spans="1:59" ht="20.100000000000001" customHeight="1">
      <c r="A138" s="66"/>
      <c r="B138" s="67"/>
      <c r="C138" s="68"/>
      <c r="D138" s="171"/>
      <c r="E138" s="171"/>
      <c r="F138" s="171"/>
      <c r="G138" s="171"/>
      <c r="H138" s="171"/>
      <c r="I138" s="171"/>
      <c r="J138" s="172"/>
      <c r="K138" s="171"/>
      <c r="L138" s="173"/>
      <c r="M138" s="587"/>
      <c r="N138" s="588"/>
      <c r="O138" s="492"/>
      <c r="P138" s="492"/>
      <c r="Q138" s="492"/>
      <c r="R138" s="492"/>
      <c r="S138" s="492"/>
      <c r="T138" s="492"/>
      <c r="U138" s="492"/>
      <c r="V138" s="492"/>
      <c r="W138" s="492"/>
      <c r="X138" s="492"/>
      <c r="Y138" s="492"/>
      <c r="Z138" s="492"/>
      <c r="AA138" s="492"/>
      <c r="AB138" s="492"/>
      <c r="AC138" s="492"/>
      <c r="AD138" s="493"/>
      <c r="AE138" s="493"/>
      <c r="AF138" s="493"/>
      <c r="AG138" s="493"/>
      <c r="AH138" s="493"/>
      <c r="AI138" s="493"/>
      <c r="AJ138" s="493"/>
      <c r="AK138" s="493"/>
      <c r="AL138" s="493"/>
      <c r="AM138" s="493"/>
      <c r="AN138" s="493"/>
      <c r="AO138" s="493"/>
      <c r="AP138" s="493"/>
      <c r="AQ138" s="493"/>
      <c r="AR138" s="493"/>
      <c r="AS138" s="493"/>
      <c r="AT138" s="493"/>
      <c r="AU138" s="493"/>
      <c r="AV138" s="493"/>
      <c r="AW138" s="493"/>
      <c r="AX138" s="493"/>
      <c r="AY138" s="493"/>
      <c r="AZ138" s="493"/>
      <c r="BA138" s="493"/>
      <c r="BB138" s="493"/>
      <c r="BC138" s="493"/>
      <c r="BD138" s="493"/>
      <c r="BE138" s="493"/>
      <c r="BF138" s="493"/>
      <c r="BG138" s="493"/>
    </row>
    <row r="139" spans="1:59" ht="20.100000000000001" customHeight="1">
      <c r="A139" s="77"/>
      <c r="C139" s="78"/>
      <c r="D139" s="589" t="str">
        <f>D76</f>
        <v>MAC QT 160 P</v>
      </c>
      <c r="E139" s="590"/>
      <c r="F139" s="590"/>
      <c r="G139" s="590"/>
      <c r="H139" s="590"/>
      <c r="I139" s="590"/>
      <c r="J139" s="590"/>
      <c r="K139" s="591"/>
      <c r="L139" s="174"/>
      <c r="M139" s="592"/>
      <c r="N139" s="593"/>
      <c r="O139" s="492"/>
      <c r="P139" s="492"/>
      <c r="Q139" s="492"/>
      <c r="R139" s="492"/>
      <c r="S139" s="492"/>
      <c r="T139" s="492"/>
      <c r="U139" s="492"/>
      <c r="V139" s="492"/>
      <c r="W139" s="492"/>
      <c r="X139" s="492"/>
      <c r="Y139" s="492"/>
      <c r="Z139" s="492"/>
      <c r="AA139" s="492"/>
      <c r="AB139" s="492"/>
      <c r="AC139" s="492"/>
      <c r="AD139" s="493"/>
      <c r="AE139" s="493"/>
      <c r="AF139" s="493"/>
      <c r="AG139" s="493"/>
      <c r="AH139" s="493"/>
      <c r="AI139" s="493"/>
      <c r="AJ139" s="493"/>
      <c r="AK139" s="493"/>
      <c r="AL139" s="493"/>
      <c r="AM139" s="493"/>
      <c r="AN139" s="493"/>
      <c r="AO139" s="493"/>
      <c r="AP139" s="493"/>
      <c r="AQ139" s="493"/>
      <c r="AR139" s="493"/>
      <c r="AS139" s="493"/>
      <c r="AT139" s="493"/>
      <c r="AU139" s="493"/>
      <c r="AV139" s="493"/>
      <c r="AW139" s="493"/>
      <c r="AX139" s="493"/>
      <c r="AY139" s="493"/>
      <c r="AZ139" s="493"/>
      <c r="BA139" s="493"/>
      <c r="BB139" s="493"/>
      <c r="BC139" s="493"/>
      <c r="BD139" s="493"/>
      <c r="BE139" s="493"/>
      <c r="BF139" s="493"/>
      <c r="BG139" s="493"/>
    </row>
    <row r="140" spans="1:59" ht="20.100000000000001" customHeight="1">
      <c r="A140" s="77"/>
      <c r="C140" s="78"/>
      <c r="D140" s="594" t="s">
        <v>220</v>
      </c>
      <c r="E140" s="595"/>
      <c r="F140" s="595"/>
      <c r="G140" s="595"/>
      <c r="H140" s="595"/>
      <c r="I140" s="595"/>
      <c r="J140" s="595"/>
      <c r="K140" s="596"/>
      <c r="L140" s="174" t="s">
        <v>105</v>
      </c>
      <c r="M140" s="597" t="str">
        <f>'driving mode datasheet'!M140</f>
        <v>3 de 3</v>
      </c>
      <c r="N140" s="593"/>
      <c r="O140" s="492"/>
      <c r="P140" s="492"/>
      <c r="Q140" s="492"/>
      <c r="R140" s="492"/>
      <c r="S140" s="492"/>
      <c r="T140" s="492"/>
      <c r="U140" s="492"/>
      <c r="V140" s="492"/>
      <c r="W140" s="492"/>
      <c r="X140" s="492"/>
      <c r="Y140" s="492"/>
      <c r="Z140" s="492"/>
      <c r="AA140" s="492"/>
      <c r="AB140" s="492"/>
      <c r="AC140" s="492"/>
      <c r="AD140" s="493"/>
      <c r="AE140" s="493"/>
      <c r="AF140" s="493"/>
      <c r="AG140" s="493"/>
      <c r="AH140" s="493"/>
      <c r="AI140" s="493"/>
      <c r="AJ140" s="493"/>
      <c r="AK140" s="493"/>
      <c r="AL140" s="493"/>
      <c r="AM140" s="493"/>
      <c r="AN140" s="493"/>
      <c r="AO140" s="493"/>
      <c r="AP140" s="493"/>
      <c r="AQ140" s="493"/>
      <c r="AR140" s="493"/>
      <c r="AS140" s="493"/>
      <c r="AT140" s="493"/>
      <c r="AU140" s="493"/>
      <c r="AV140" s="493"/>
      <c r="AW140" s="493"/>
      <c r="AX140" s="493"/>
      <c r="AY140" s="493"/>
      <c r="AZ140" s="493"/>
      <c r="BA140" s="493"/>
      <c r="BB140" s="493"/>
      <c r="BC140" s="493"/>
      <c r="BD140" s="493"/>
      <c r="BE140" s="493"/>
      <c r="BF140" s="493"/>
      <c r="BG140" s="493"/>
    </row>
    <row r="141" spans="1:59" ht="20.100000000000001" customHeight="1">
      <c r="A141" s="77"/>
      <c r="C141" s="78"/>
      <c r="D141" s="572" t="s">
        <v>221</v>
      </c>
      <c r="E141" s="573"/>
      <c r="F141" s="573"/>
      <c r="G141" s="573"/>
      <c r="H141" s="573"/>
      <c r="I141" s="573"/>
      <c r="J141" s="573"/>
      <c r="K141" s="574"/>
      <c r="L141" s="174" t="s">
        <v>13</v>
      </c>
      <c r="M141" s="575">
        <f>'driving mode datasheet'!M141</f>
        <v>45239</v>
      </c>
      <c r="N141" s="576"/>
      <c r="O141" s="492"/>
      <c r="P141" s="492"/>
      <c r="Q141" s="492"/>
      <c r="R141" s="492"/>
      <c r="S141" s="492"/>
      <c r="T141" s="492"/>
      <c r="U141" s="492"/>
      <c r="V141" s="492"/>
      <c r="W141" s="492"/>
      <c r="X141" s="492"/>
      <c r="Y141" s="492"/>
      <c r="Z141" s="492"/>
      <c r="AA141" s="492"/>
      <c r="AB141" s="492"/>
      <c r="AC141" s="492"/>
      <c r="AD141" s="493"/>
      <c r="AE141" s="493"/>
      <c r="AF141" s="493"/>
      <c r="AG141" s="493"/>
      <c r="AH141" s="493"/>
      <c r="AI141" s="493"/>
      <c r="AJ141" s="493"/>
      <c r="AK141" s="493"/>
      <c r="AL141" s="493"/>
      <c r="AM141" s="493"/>
      <c r="AN141" s="493"/>
      <c r="AO141" s="493"/>
      <c r="AP141" s="493"/>
      <c r="AQ141" s="493"/>
      <c r="AR141" s="493"/>
      <c r="AS141" s="493"/>
      <c r="AT141" s="493"/>
      <c r="AU141" s="493"/>
      <c r="AV141" s="493"/>
      <c r="AW141" s="493"/>
      <c r="AX141" s="493"/>
      <c r="AY141" s="493"/>
      <c r="AZ141" s="493"/>
      <c r="BA141" s="493"/>
      <c r="BB141" s="493"/>
      <c r="BC141" s="493"/>
      <c r="BD141" s="493"/>
      <c r="BE141" s="493"/>
      <c r="BF141" s="493"/>
      <c r="BG141" s="493"/>
    </row>
    <row r="142" spans="1:59" ht="20.100000000000001" customHeight="1" thickBot="1">
      <c r="A142" s="80"/>
      <c r="B142" s="81"/>
      <c r="C142" s="82"/>
      <c r="D142" s="175"/>
      <c r="E142" s="175"/>
      <c r="F142" s="175"/>
      <c r="G142" s="175"/>
      <c r="H142" s="175"/>
      <c r="I142" s="175"/>
      <c r="J142" s="176"/>
      <c r="K142" s="175"/>
      <c r="L142" s="177"/>
      <c r="M142" s="580"/>
      <c r="N142" s="581"/>
      <c r="O142" s="492"/>
      <c r="P142" s="492"/>
      <c r="Q142" s="492"/>
      <c r="R142" s="492"/>
      <c r="S142" s="492"/>
      <c r="T142" s="492"/>
      <c r="U142" s="492"/>
      <c r="V142" s="492"/>
      <c r="W142" s="492"/>
      <c r="X142" s="492"/>
      <c r="Y142" s="492"/>
      <c r="Z142" s="492"/>
      <c r="AA142" s="492"/>
      <c r="AB142" s="492"/>
      <c r="AC142" s="492"/>
      <c r="AD142" s="493"/>
      <c r="AE142" s="493"/>
      <c r="AF142" s="493"/>
      <c r="AG142" s="493"/>
      <c r="AH142" s="493"/>
      <c r="AI142" s="493"/>
      <c r="AJ142" s="493"/>
      <c r="AK142" s="493"/>
      <c r="AL142" s="493"/>
      <c r="AM142" s="493"/>
      <c r="AN142" s="493"/>
      <c r="AO142" s="493"/>
      <c r="AP142" s="493"/>
      <c r="AQ142" s="493"/>
      <c r="AR142" s="493"/>
      <c r="AS142" s="493"/>
      <c r="AT142" s="493"/>
      <c r="AU142" s="493"/>
      <c r="AV142" s="493"/>
      <c r="AW142" s="493"/>
      <c r="AX142" s="493"/>
      <c r="AY142" s="493"/>
      <c r="AZ142" s="493"/>
      <c r="BA142" s="493"/>
      <c r="BB142" s="493"/>
      <c r="BC142" s="493"/>
      <c r="BD142" s="493"/>
      <c r="BE142" s="493"/>
      <c r="BF142" s="493"/>
      <c r="BG142" s="493"/>
    </row>
    <row r="143" spans="1:59" ht="54.75" customHeight="1">
      <c r="H143" s="194"/>
      <c r="O143" s="492"/>
      <c r="P143" s="492"/>
      <c r="Q143" s="492"/>
      <c r="R143" s="492"/>
      <c r="S143" s="492"/>
      <c r="T143" s="492"/>
      <c r="U143" s="492"/>
      <c r="V143" s="492"/>
      <c r="W143" s="492"/>
      <c r="X143" s="492"/>
      <c r="Y143" s="492"/>
      <c r="Z143" s="492"/>
      <c r="AA143" s="492"/>
      <c r="AB143" s="492"/>
      <c r="AC143" s="492"/>
      <c r="AD143" s="493"/>
      <c r="AE143" s="493"/>
      <c r="AF143" s="493"/>
      <c r="AG143" s="493"/>
      <c r="AH143" s="493"/>
      <c r="AI143" s="493"/>
      <c r="AJ143" s="493"/>
      <c r="AK143" s="493"/>
      <c r="AL143" s="493"/>
      <c r="AM143" s="493"/>
      <c r="AN143" s="493"/>
      <c r="AO143" s="493"/>
      <c r="AP143" s="493"/>
      <c r="AQ143" s="493"/>
      <c r="AR143" s="493"/>
      <c r="AS143" s="493"/>
      <c r="AT143" s="493"/>
      <c r="AU143" s="493"/>
      <c r="AV143" s="493"/>
      <c r="AW143" s="493"/>
      <c r="AX143" s="493"/>
      <c r="AY143" s="493"/>
      <c r="AZ143" s="493"/>
      <c r="BA143" s="493"/>
      <c r="BB143" s="493"/>
      <c r="BC143" s="493"/>
      <c r="BD143" s="493"/>
      <c r="BE143" s="493"/>
      <c r="BF143" s="493"/>
      <c r="BG143" s="493"/>
    </row>
    <row r="144" spans="1:59" ht="72" customHeight="1" thickBot="1">
      <c r="C144" s="195"/>
      <c r="D144" s="196"/>
      <c r="E144" s="196"/>
      <c r="F144" s="196"/>
      <c r="G144" s="196"/>
      <c r="H144" s="196"/>
      <c r="I144" s="196"/>
      <c r="J144" s="196"/>
      <c r="K144" s="196"/>
      <c r="L144" s="196"/>
      <c r="M144" s="196"/>
      <c r="O144" s="492"/>
      <c r="P144" s="492"/>
      <c r="Q144" s="492"/>
      <c r="R144" s="492"/>
      <c r="S144" s="492"/>
      <c r="T144" s="492"/>
      <c r="U144" s="492"/>
      <c r="V144" s="492"/>
      <c r="W144" s="492"/>
      <c r="X144" s="492"/>
      <c r="Y144" s="492"/>
      <c r="Z144" s="492"/>
      <c r="AA144" s="492"/>
      <c r="AB144" s="492"/>
      <c r="AC144" s="492"/>
      <c r="AD144" s="493"/>
      <c r="AE144" s="493"/>
      <c r="AF144" s="493"/>
      <c r="AG144" s="493"/>
      <c r="AH144" s="493"/>
      <c r="AI144" s="493"/>
      <c r="AJ144" s="493"/>
      <c r="AK144" s="493"/>
      <c r="AL144" s="493"/>
      <c r="AM144" s="493"/>
      <c r="AN144" s="493"/>
      <c r="AO144" s="493"/>
      <c r="AP144" s="493"/>
      <c r="AQ144" s="493"/>
      <c r="AR144" s="493"/>
      <c r="AS144" s="493"/>
      <c r="AT144" s="493"/>
      <c r="AU144" s="493"/>
      <c r="AV144" s="493"/>
      <c r="AW144" s="493"/>
      <c r="AX144" s="493"/>
      <c r="AY144" s="493"/>
      <c r="AZ144" s="493"/>
      <c r="BA144" s="493"/>
      <c r="BB144" s="493"/>
      <c r="BC144" s="493"/>
      <c r="BD144" s="493"/>
      <c r="BE144" s="493"/>
      <c r="BF144" s="493"/>
      <c r="BG144" s="493"/>
    </row>
    <row r="145" spans="1:59" ht="42.75" customHeight="1" thickTop="1" thickBot="1">
      <c r="C145" s="582" t="str">
        <f>D76</f>
        <v>MAC QT 160 P</v>
      </c>
      <c r="D145" s="583"/>
      <c r="E145" s="583"/>
      <c r="F145" s="583"/>
      <c r="G145" s="197" t="str">
        <f>A87</f>
        <v>F42</v>
      </c>
      <c r="H145" s="197" t="s">
        <v>181</v>
      </c>
      <c r="I145" s="199">
        <f>F9</f>
        <v>4</v>
      </c>
      <c r="J145" s="200" t="s">
        <v>123</v>
      </c>
      <c r="K145" s="569" t="s">
        <v>67</v>
      </c>
      <c r="L145" s="570"/>
      <c r="M145" s="571"/>
      <c r="O145" s="492"/>
      <c r="P145" s="492"/>
      <c r="Q145" s="492"/>
      <c r="R145" s="492"/>
      <c r="S145" s="492"/>
      <c r="T145" s="492"/>
      <c r="U145" s="492"/>
      <c r="V145" s="492"/>
      <c r="W145" s="492"/>
      <c r="X145" s="492"/>
      <c r="Y145" s="492"/>
      <c r="Z145" s="492"/>
      <c r="AA145" s="492"/>
      <c r="AB145" s="492"/>
      <c r="AC145" s="492"/>
      <c r="AD145" s="493"/>
      <c r="AE145" s="493"/>
      <c r="AF145" s="493"/>
      <c r="AG145" s="493"/>
      <c r="AH145" s="493"/>
      <c r="AI145" s="493"/>
      <c r="AJ145" s="493"/>
      <c r="AK145" s="493"/>
      <c r="AL145" s="493"/>
      <c r="AM145" s="493"/>
      <c r="AN145" s="493"/>
      <c r="AO145" s="493"/>
      <c r="AP145" s="493"/>
      <c r="AQ145" s="493"/>
      <c r="AR145" s="493"/>
      <c r="AS145" s="493"/>
      <c r="AT145" s="493"/>
      <c r="AU145" s="493"/>
      <c r="AV145" s="493"/>
      <c r="AW145" s="493"/>
      <c r="AX145" s="493"/>
      <c r="AY145" s="493"/>
      <c r="AZ145" s="493"/>
      <c r="BA145" s="493"/>
      <c r="BB145" s="493"/>
      <c r="BC145" s="493"/>
      <c r="BD145" s="493"/>
      <c r="BE145" s="493"/>
      <c r="BF145" s="493"/>
      <c r="BG145" s="493"/>
    </row>
    <row r="146" spans="1:59" ht="42.75" customHeight="1" thickTop="1" thickBot="1">
      <c r="C146" s="201" t="s">
        <v>124</v>
      </c>
      <c r="D146" s="584"/>
      <c r="E146" s="584"/>
      <c r="F146" s="585"/>
      <c r="G146" s="202" t="s">
        <v>125</v>
      </c>
      <c r="H146" s="586"/>
      <c r="I146" s="584"/>
      <c r="J146" s="585"/>
      <c r="K146" s="565" t="str">
        <f>J11</f>
        <v>IM B3</v>
      </c>
      <c r="L146" s="570"/>
      <c r="M146" s="571"/>
      <c r="BE146" s="75"/>
    </row>
    <row r="147" spans="1:59" s="189" customFormat="1" ht="42.75" customHeight="1" thickTop="1" thickBot="1">
      <c r="A147" s="76"/>
      <c r="C147" s="201" t="s">
        <v>126</v>
      </c>
      <c r="D147" s="561">
        <f>D87</f>
        <v>127.20518093895312</v>
      </c>
      <c r="E147" s="562"/>
      <c r="F147" s="203" t="s">
        <v>127</v>
      </c>
      <c r="G147" s="202" t="s">
        <v>128</v>
      </c>
      <c r="H147" s="563">
        <f>B87</f>
        <v>520</v>
      </c>
      <c r="I147" s="564"/>
      <c r="J147" s="200" t="s">
        <v>79</v>
      </c>
      <c r="K147" s="565" t="str">
        <f>G11</f>
        <v>IP 23</v>
      </c>
      <c r="L147" s="566"/>
      <c r="M147" s="567"/>
      <c r="N147" s="76"/>
      <c r="O147" s="435"/>
      <c r="P147" s="435"/>
      <c r="Q147" s="435"/>
      <c r="R147" s="435"/>
      <c r="S147" s="435"/>
      <c r="T147" s="435"/>
      <c r="U147" s="435"/>
      <c r="V147" s="435"/>
      <c r="W147" s="435"/>
      <c r="X147" s="435"/>
      <c r="Y147" s="435"/>
      <c r="Z147" s="435"/>
      <c r="AA147" s="435"/>
      <c r="AB147" s="435"/>
      <c r="AC147" s="435"/>
      <c r="AD147" s="204"/>
      <c r="AE147" s="204"/>
      <c r="AI147" s="204"/>
      <c r="AJ147" s="204"/>
      <c r="AK147" s="204"/>
      <c r="AL147" s="204"/>
      <c r="AM147" s="205"/>
      <c r="AN147" s="205"/>
      <c r="AO147" s="205"/>
      <c r="AP147" s="206"/>
      <c r="AQ147" s="205"/>
      <c r="AR147" s="204"/>
      <c r="AS147" s="204"/>
      <c r="AT147" s="204"/>
      <c r="AU147" s="204"/>
      <c r="AV147" s="204"/>
      <c r="AW147" s="204"/>
      <c r="AX147" s="204"/>
      <c r="AY147" s="204"/>
      <c r="AZ147" s="204"/>
      <c r="BA147" s="207"/>
      <c r="BB147" s="207"/>
      <c r="BC147" s="207"/>
      <c r="BD147" s="207"/>
      <c r="BE147" s="207"/>
    </row>
    <row r="148" spans="1:59" ht="42.75" customHeight="1" thickTop="1" thickBot="1">
      <c r="C148" s="201" t="s">
        <v>129</v>
      </c>
      <c r="D148" s="208" t="str">
        <f>IF(RIGHT(G145)="1","Y","D")</f>
        <v>D</v>
      </c>
      <c r="E148" s="209">
        <f>F81</f>
        <v>400</v>
      </c>
      <c r="F148" s="203" t="s">
        <v>130</v>
      </c>
      <c r="G148" s="202" t="s">
        <v>131</v>
      </c>
      <c r="H148" s="568">
        <f>F87</f>
        <v>77</v>
      </c>
      <c r="I148" s="561"/>
      <c r="J148" s="200" t="s">
        <v>83</v>
      </c>
      <c r="K148" s="569" t="str">
        <f>C8</f>
        <v>IC 06</v>
      </c>
      <c r="L148" s="570"/>
      <c r="M148" s="571"/>
      <c r="BE148" s="75"/>
    </row>
    <row r="149" spans="1:59" ht="42.75" customHeight="1" thickTop="1" thickBot="1">
      <c r="C149" s="201" t="s">
        <v>132</v>
      </c>
      <c r="D149" s="561">
        <f>C87</f>
        <v>219.3</v>
      </c>
      <c r="E149" s="562"/>
      <c r="F149" s="203" t="s">
        <v>35</v>
      </c>
      <c r="G149" s="202" t="s">
        <v>133</v>
      </c>
      <c r="H149" s="210">
        <f>P87</f>
        <v>0.80232693811754197</v>
      </c>
      <c r="I149" s="201" t="s">
        <v>134</v>
      </c>
      <c r="J149" s="211">
        <f>O87</f>
        <v>0.95830956782695731</v>
      </c>
      <c r="K149" s="569" t="str">
        <f>I15</f>
        <v>Cl. F</v>
      </c>
      <c r="L149" s="570"/>
      <c r="M149" s="571"/>
      <c r="BE149" s="75"/>
    </row>
    <row r="150" spans="1:59" ht="42.75" customHeight="1" thickTop="1" thickBot="1">
      <c r="C150" s="201" t="s">
        <v>135</v>
      </c>
      <c r="D150" s="577">
        <f>E87</f>
        <v>2336</v>
      </c>
      <c r="E150" s="578"/>
      <c r="F150" s="203" t="s">
        <v>82</v>
      </c>
      <c r="G150" s="202" t="s">
        <v>136</v>
      </c>
      <c r="H150" s="579">
        <f>L13</f>
        <v>6500</v>
      </c>
      <c r="I150" s="564"/>
      <c r="J150" s="212" t="s">
        <v>82</v>
      </c>
      <c r="K150" s="569" t="str">
        <f>F24</f>
        <v>S1</v>
      </c>
      <c r="L150" s="570"/>
      <c r="M150" s="571"/>
      <c r="BE150" s="75"/>
    </row>
    <row r="151" spans="1:59" ht="42.75" customHeight="1" thickTop="1" thickBot="1">
      <c r="C151" s="213" t="s">
        <v>137</v>
      </c>
      <c r="D151" s="214"/>
      <c r="E151" s="215" t="s">
        <v>130</v>
      </c>
      <c r="F151" s="214" t="s">
        <v>138</v>
      </c>
      <c r="G151" s="216" t="s">
        <v>139</v>
      </c>
      <c r="H151" s="217"/>
      <c r="I151" s="213" t="s">
        <v>140</v>
      </c>
      <c r="J151" s="218" t="s">
        <v>79</v>
      </c>
      <c r="K151" s="215" t="s">
        <v>79</v>
      </c>
      <c r="L151" s="219" t="s">
        <v>141</v>
      </c>
      <c r="M151" s="220" t="s">
        <v>141</v>
      </c>
      <c r="BE151" s="75"/>
    </row>
    <row r="152" spans="1:59" ht="42.75" customHeight="1" thickTop="1" thickBot="1">
      <c r="C152" s="558" t="s">
        <v>142</v>
      </c>
      <c r="D152" s="559"/>
      <c r="E152" s="559"/>
      <c r="F152" s="559"/>
      <c r="G152" s="559"/>
      <c r="H152" s="559"/>
      <c r="I152" s="559"/>
      <c r="J152" s="559"/>
      <c r="K152" s="559"/>
      <c r="L152" s="559"/>
      <c r="M152" s="560"/>
      <c r="BE152" s="75"/>
    </row>
    <row r="153" spans="1:59" ht="15" customHeight="1" thickTop="1">
      <c r="O153" s="437"/>
      <c r="P153" s="437"/>
      <c r="Q153" s="437"/>
      <c r="R153" s="437"/>
      <c r="S153" s="437"/>
      <c r="T153" s="437"/>
      <c r="U153" s="437"/>
    </row>
  </sheetData>
  <sheetProtection sheet="1" objects="1" scenarios="1"/>
  <mergeCells count="97">
    <mergeCell ref="C19:C20"/>
    <mergeCell ref="F19:F20"/>
    <mergeCell ref="M1:N1"/>
    <mergeCell ref="D2:K2"/>
    <mergeCell ref="M2:N2"/>
    <mergeCell ref="D3:K3"/>
    <mergeCell ref="M3:N3"/>
    <mergeCell ref="N15:N16"/>
    <mergeCell ref="A16:D18"/>
    <mergeCell ref="F17:H18"/>
    <mergeCell ref="K17:N18"/>
    <mergeCell ref="D4:K4"/>
    <mergeCell ref="M4:N4"/>
    <mergeCell ref="M5:N5"/>
    <mergeCell ref="H7:I8"/>
    <mergeCell ref="J7:L7"/>
    <mergeCell ref="C15:D15"/>
    <mergeCell ref="F15:F16"/>
    <mergeCell ref="I15:I16"/>
    <mergeCell ref="K15:K16"/>
    <mergeCell ref="M7:N8"/>
    <mergeCell ref="C8:D9"/>
    <mergeCell ref="J8:L8"/>
    <mergeCell ref="F9:F10"/>
    <mergeCell ref="I9:J10"/>
    <mergeCell ref="M9:N10"/>
    <mergeCell ref="G10:H10"/>
    <mergeCell ref="C11:D11"/>
    <mergeCell ref="G11:G12"/>
    <mergeCell ref="N11:N12"/>
    <mergeCell ref="C12:D12"/>
    <mergeCell ref="C13:D13"/>
    <mergeCell ref="G13:H14"/>
    <mergeCell ref="L13:N14"/>
    <mergeCell ref="C14:D14"/>
    <mergeCell ref="D76:K76"/>
    <mergeCell ref="M76:N76"/>
    <mergeCell ref="F24:F25"/>
    <mergeCell ref="H24:K25"/>
    <mergeCell ref="L24:L25"/>
    <mergeCell ref="M75:N75"/>
    <mergeCell ref="H81:K81"/>
    <mergeCell ref="L81:L82"/>
    <mergeCell ref="M21:N22"/>
    <mergeCell ref="A22:D22"/>
    <mergeCell ref="H22:K22"/>
    <mergeCell ref="B24:E25"/>
    <mergeCell ref="M79:N79"/>
    <mergeCell ref="A21:D21"/>
    <mergeCell ref="E21:E22"/>
    <mergeCell ref="F21:G22"/>
    <mergeCell ref="H21:K21"/>
    <mergeCell ref="L21:L22"/>
    <mergeCell ref="D77:K77"/>
    <mergeCell ref="M77:N77"/>
    <mergeCell ref="D78:K78"/>
    <mergeCell ref="M78:N78"/>
    <mergeCell ref="A113:C114"/>
    <mergeCell ref="M81:N82"/>
    <mergeCell ref="Q81:T81"/>
    <mergeCell ref="W81:AB81"/>
    <mergeCell ref="A82:D82"/>
    <mergeCell ref="H82:K82"/>
    <mergeCell ref="Q82:T82"/>
    <mergeCell ref="W82:AB82"/>
    <mergeCell ref="B84:E85"/>
    <mergeCell ref="F84:F85"/>
    <mergeCell ref="H84:K85"/>
    <mergeCell ref="L84:L85"/>
    <mergeCell ref="A89:C90"/>
    <mergeCell ref="A81:D81"/>
    <mergeCell ref="E81:E82"/>
    <mergeCell ref="F81:G82"/>
    <mergeCell ref="M138:N138"/>
    <mergeCell ref="D139:K139"/>
    <mergeCell ref="M139:N139"/>
    <mergeCell ref="D140:K140"/>
    <mergeCell ref="M140:N140"/>
    <mergeCell ref="D141:K141"/>
    <mergeCell ref="M141:N141"/>
    <mergeCell ref="D150:E150"/>
    <mergeCell ref="H150:I150"/>
    <mergeCell ref="K150:M150"/>
    <mergeCell ref="M142:N142"/>
    <mergeCell ref="C145:F145"/>
    <mergeCell ref="K145:M145"/>
    <mergeCell ref="D146:F146"/>
    <mergeCell ref="H146:J146"/>
    <mergeCell ref="K146:M146"/>
    <mergeCell ref="C152:M152"/>
    <mergeCell ref="D147:E147"/>
    <mergeCell ref="H147:I147"/>
    <mergeCell ref="K147:M147"/>
    <mergeCell ref="H148:I148"/>
    <mergeCell ref="K148:M148"/>
    <mergeCell ref="D149:E149"/>
    <mergeCell ref="K149:M149"/>
  </mergeCells>
  <dataValidations disablePrompts="1" count="1">
    <dataValidation type="list" allowBlank="1" showInputMessage="1" showErrorMessage="1" sqref="K146:M146 WVS983186:WVU983186 WLW983186:WLY983186 WCA983186:WCC983186 VSE983186:VSG983186 VII983186:VIK983186 UYM983186:UYO983186 UOQ983186:UOS983186 UEU983186:UEW983186 TUY983186:TVA983186 TLC983186:TLE983186 TBG983186:TBI983186 SRK983186:SRM983186 SHO983186:SHQ983186 RXS983186:RXU983186 RNW983186:RNY983186 REA983186:REC983186 QUE983186:QUG983186 QKI983186:QKK983186 QAM983186:QAO983186 PQQ983186:PQS983186 PGU983186:PGW983186 OWY983186:OXA983186 ONC983186:ONE983186 ODG983186:ODI983186 NTK983186:NTM983186 NJO983186:NJQ983186 MZS983186:MZU983186 MPW983186:MPY983186 MGA983186:MGC983186 LWE983186:LWG983186 LMI983186:LMK983186 LCM983186:LCO983186 KSQ983186:KSS983186 KIU983186:KIW983186 JYY983186:JZA983186 JPC983186:JPE983186 JFG983186:JFI983186 IVK983186:IVM983186 ILO983186:ILQ983186 IBS983186:IBU983186 HRW983186:HRY983186 HIA983186:HIC983186 GYE983186:GYG983186 GOI983186:GOK983186 GEM983186:GEO983186 FUQ983186:FUS983186 FKU983186:FKW983186 FAY983186:FBA983186 ERC983186:ERE983186 EHG983186:EHI983186 DXK983186:DXM983186 DNO983186:DNQ983186 DDS983186:DDU983186 CTW983186:CTY983186 CKA983186:CKC983186 CAE983186:CAG983186 BQI983186:BQK983186 BGM983186:BGO983186 AWQ983186:AWS983186 AMU983186:AMW983186 ACY983186:ADA983186 TC983186:TE983186 JG983186:JI983186 K983186:M983186 WVS917650:WVU917650 WLW917650:WLY917650 WCA917650:WCC917650 VSE917650:VSG917650 VII917650:VIK917650 UYM917650:UYO917650 UOQ917650:UOS917650 UEU917650:UEW917650 TUY917650:TVA917650 TLC917650:TLE917650 TBG917650:TBI917650 SRK917650:SRM917650 SHO917650:SHQ917650 RXS917650:RXU917650 RNW917650:RNY917650 REA917650:REC917650 QUE917650:QUG917650 QKI917650:QKK917650 QAM917650:QAO917650 PQQ917650:PQS917650 PGU917650:PGW917650 OWY917650:OXA917650 ONC917650:ONE917650 ODG917650:ODI917650 NTK917650:NTM917650 NJO917650:NJQ917650 MZS917650:MZU917650 MPW917650:MPY917650 MGA917650:MGC917650 LWE917650:LWG917650 LMI917650:LMK917650 LCM917650:LCO917650 KSQ917650:KSS917650 KIU917650:KIW917650 JYY917650:JZA917650 JPC917650:JPE917650 JFG917650:JFI917650 IVK917650:IVM917650 ILO917650:ILQ917650 IBS917650:IBU917650 HRW917650:HRY917650 HIA917650:HIC917650 GYE917650:GYG917650 GOI917650:GOK917650 GEM917650:GEO917650 FUQ917650:FUS917650 FKU917650:FKW917650 FAY917650:FBA917650 ERC917650:ERE917650 EHG917650:EHI917650 DXK917650:DXM917650 DNO917650:DNQ917650 DDS917650:DDU917650 CTW917650:CTY917650 CKA917650:CKC917650 CAE917650:CAG917650 BQI917650:BQK917650 BGM917650:BGO917650 AWQ917650:AWS917650 AMU917650:AMW917650 ACY917650:ADA917650 TC917650:TE917650 JG917650:JI917650 K917650:M917650 WVS852114:WVU852114 WLW852114:WLY852114 WCA852114:WCC852114 VSE852114:VSG852114 VII852114:VIK852114 UYM852114:UYO852114 UOQ852114:UOS852114 UEU852114:UEW852114 TUY852114:TVA852114 TLC852114:TLE852114 TBG852114:TBI852114 SRK852114:SRM852114 SHO852114:SHQ852114 RXS852114:RXU852114 RNW852114:RNY852114 REA852114:REC852114 QUE852114:QUG852114 QKI852114:QKK852114 QAM852114:QAO852114 PQQ852114:PQS852114 PGU852114:PGW852114 OWY852114:OXA852114 ONC852114:ONE852114 ODG852114:ODI852114 NTK852114:NTM852114 NJO852114:NJQ852114 MZS852114:MZU852114 MPW852114:MPY852114 MGA852114:MGC852114 LWE852114:LWG852114 LMI852114:LMK852114 LCM852114:LCO852114 KSQ852114:KSS852114 KIU852114:KIW852114 JYY852114:JZA852114 JPC852114:JPE852114 JFG852114:JFI852114 IVK852114:IVM852114 ILO852114:ILQ852114 IBS852114:IBU852114 HRW852114:HRY852114 HIA852114:HIC852114 GYE852114:GYG852114 GOI852114:GOK852114 GEM852114:GEO852114 FUQ852114:FUS852114 FKU852114:FKW852114 FAY852114:FBA852114 ERC852114:ERE852114 EHG852114:EHI852114 DXK852114:DXM852114 DNO852114:DNQ852114 DDS852114:DDU852114 CTW852114:CTY852114 CKA852114:CKC852114 CAE852114:CAG852114 BQI852114:BQK852114 BGM852114:BGO852114 AWQ852114:AWS852114 AMU852114:AMW852114 ACY852114:ADA852114 TC852114:TE852114 JG852114:JI852114 K852114:M852114 WVS786578:WVU786578 WLW786578:WLY786578 WCA786578:WCC786578 VSE786578:VSG786578 VII786578:VIK786578 UYM786578:UYO786578 UOQ786578:UOS786578 UEU786578:UEW786578 TUY786578:TVA786578 TLC786578:TLE786578 TBG786578:TBI786578 SRK786578:SRM786578 SHO786578:SHQ786578 RXS786578:RXU786578 RNW786578:RNY786578 REA786578:REC786578 QUE786578:QUG786578 QKI786578:QKK786578 QAM786578:QAO786578 PQQ786578:PQS786578 PGU786578:PGW786578 OWY786578:OXA786578 ONC786578:ONE786578 ODG786578:ODI786578 NTK786578:NTM786578 NJO786578:NJQ786578 MZS786578:MZU786578 MPW786578:MPY786578 MGA786578:MGC786578 LWE786578:LWG786578 LMI786578:LMK786578 LCM786578:LCO786578 KSQ786578:KSS786578 KIU786578:KIW786578 JYY786578:JZA786578 JPC786578:JPE786578 JFG786578:JFI786578 IVK786578:IVM786578 ILO786578:ILQ786578 IBS786578:IBU786578 HRW786578:HRY786578 HIA786578:HIC786578 GYE786578:GYG786578 GOI786578:GOK786578 GEM786578:GEO786578 FUQ786578:FUS786578 FKU786578:FKW786578 FAY786578:FBA786578 ERC786578:ERE786578 EHG786578:EHI786578 DXK786578:DXM786578 DNO786578:DNQ786578 DDS786578:DDU786578 CTW786578:CTY786578 CKA786578:CKC786578 CAE786578:CAG786578 BQI786578:BQK786578 BGM786578:BGO786578 AWQ786578:AWS786578 AMU786578:AMW786578 ACY786578:ADA786578 TC786578:TE786578 JG786578:JI786578 K786578:M786578 WVS721042:WVU721042 WLW721042:WLY721042 WCA721042:WCC721042 VSE721042:VSG721042 VII721042:VIK721042 UYM721042:UYO721042 UOQ721042:UOS721042 UEU721042:UEW721042 TUY721042:TVA721042 TLC721042:TLE721042 TBG721042:TBI721042 SRK721042:SRM721042 SHO721042:SHQ721042 RXS721042:RXU721042 RNW721042:RNY721042 REA721042:REC721042 QUE721042:QUG721042 QKI721042:QKK721042 QAM721042:QAO721042 PQQ721042:PQS721042 PGU721042:PGW721042 OWY721042:OXA721042 ONC721042:ONE721042 ODG721042:ODI721042 NTK721042:NTM721042 NJO721042:NJQ721042 MZS721042:MZU721042 MPW721042:MPY721042 MGA721042:MGC721042 LWE721042:LWG721042 LMI721042:LMK721042 LCM721042:LCO721042 KSQ721042:KSS721042 KIU721042:KIW721042 JYY721042:JZA721042 JPC721042:JPE721042 JFG721042:JFI721042 IVK721042:IVM721042 ILO721042:ILQ721042 IBS721042:IBU721042 HRW721042:HRY721042 HIA721042:HIC721042 GYE721042:GYG721042 GOI721042:GOK721042 GEM721042:GEO721042 FUQ721042:FUS721042 FKU721042:FKW721042 FAY721042:FBA721042 ERC721042:ERE721042 EHG721042:EHI721042 DXK721042:DXM721042 DNO721042:DNQ721042 DDS721042:DDU721042 CTW721042:CTY721042 CKA721042:CKC721042 CAE721042:CAG721042 BQI721042:BQK721042 BGM721042:BGO721042 AWQ721042:AWS721042 AMU721042:AMW721042 ACY721042:ADA721042 TC721042:TE721042 JG721042:JI721042 K721042:M721042 WVS655506:WVU655506 WLW655506:WLY655506 WCA655506:WCC655506 VSE655506:VSG655506 VII655506:VIK655506 UYM655506:UYO655506 UOQ655506:UOS655506 UEU655506:UEW655506 TUY655506:TVA655506 TLC655506:TLE655506 TBG655506:TBI655506 SRK655506:SRM655506 SHO655506:SHQ655506 RXS655506:RXU655506 RNW655506:RNY655506 REA655506:REC655506 QUE655506:QUG655506 QKI655506:QKK655506 QAM655506:QAO655506 PQQ655506:PQS655506 PGU655506:PGW655506 OWY655506:OXA655506 ONC655506:ONE655506 ODG655506:ODI655506 NTK655506:NTM655506 NJO655506:NJQ655506 MZS655506:MZU655506 MPW655506:MPY655506 MGA655506:MGC655506 LWE655506:LWG655506 LMI655506:LMK655506 LCM655506:LCO655506 KSQ655506:KSS655506 KIU655506:KIW655506 JYY655506:JZA655506 JPC655506:JPE655506 JFG655506:JFI655506 IVK655506:IVM655506 ILO655506:ILQ655506 IBS655506:IBU655506 HRW655506:HRY655506 HIA655506:HIC655506 GYE655506:GYG655506 GOI655506:GOK655506 GEM655506:GEO655506 FUQ655506:FUS655506 FKU655506:FKW655506 FAY655506:FBA655506 ERC655506:ERE655506 EHG655506:EHI655506 DXK655506:DXM655506 DNO655506:DNQ655506 DDS655506:DDU655506 CTW655506:CTY655506 CKA655506:CKC655506 CAE655506:CAG655506 BQI655506:BQK655506 BGM655506:BGO655506 AWQ655506:AWS655506 AMU655506:AMW655506 ACY655506:ADA655506 TC655506:TE655506 JG655506:JI655506 K655506:M655506 WVS589970:WVU589970 WLW589970:WLY589970 WCA589970:WCC589970 VSE589970:VSG589970 VII589970:VIK589970 UYM589970:UYO589970 UOQ589970:UOS589970 UEU589970:UEW589970 TUY589970:TVA589970 TLC589970:TLE589970 TBG589970:TBI589970 SRK589970:SRM589970 SHO589970:SHQ589970 RXS589970:RXU589970 RNW589970:RNY589970 REA589970:REC589970 QUE589970:QUG589970 QKI589970:QKK589970 QAM589970:QAO589970 PQQ589970:PQS589970 PGU589970:PGW589970 OWY589970:OXA589970 ONC589970:ONE589970 ODG589970:ODI589970 NTK589970:NTM589970 NJO589970:NJQ589970 MZS589970:MZU589970 MPW589970:MPY589970 MGA589970:MGC589970 LWE589970:LWG589970 LMI589970:LMK589970 LCM589970:LCO589970 KSQ589970:KSS589970 KIU589970:KIW589970 JYY589970:JZA589970 JPC589970:JPE589970 JFG589970:JFI589970 IVK589970:IVM589970 ILO589970:ILQ589970 IBS589970:IBU589970 HRW589970:HRY589970 HIA589970:HIC589970 GYE589970:GYG589970 GOI589970:GOK589970 GEM589970:GEO589970 FUQ589970:FUS589970 FKU589970:FKW589970 FAY589970:FBA589970 ERC589970:ERE589970 EHG589970:EHI589970 DXK589970:DXM589970 DNO589970:DNQ589970 DDS589970:DDU589970 CTW589970:CTY589970 CKA589970:CKC589970 CAE589970:CAG589970 BQI589970:BQK589970 BGM589970:BGO589970 AWQ589970:AWS589970 AMU589970:AMW589970 ACY589970:ADA589970 TC589970:TE589970 JG589970:JI589970 K589970:M589970 WVS524434:WVU524434 WLW524434:WLY524434 WCA524434:WCC524434 VSE524434:VSG524434 VII524434:VIK524434 UYM524434:UYO524434 UOQ524434:UOS524434 UEU524434:UEW524434 TUY524434:TVA524434 TLC524434:TLE524434 TBG524434:TBI524434 SRK524434:SRM524434 SHO524434:SHQ524434 RXS524434:RXU524434 RNW524434:RNY524434 REA524434:REC524434 QUE524434:QUG524434 QKI524434:QKK524434 QAM524434:QAO524434 PQQ524434:PQS524434 PGU524434:PGW524434 OWY524434:OXA524434 ONC524434:ONE524434 ODG524434:ODI524434 NTK524434:NTM524434 NJO524434:NJQ524434 MZS524434:MZU524434 MPW524434:MPY524434 MGA524434:MGC524434 LWE524434:LWG524434 LMI524434:LMK524434 LCM524434:LCO524434 KSQ524434:KSS524434 KIU524434:KIW524434 JYY524434:JZA524434 JPC524434:JPE524434 JFG524434:JFI524434 IVK524434:IVM524434 ILO524434:ILQ524434 IBS524434:IBU524434 HRW524434:HRY524434 HIA524434:HIC524434 GYE524434:GYG524434 GOI524434:GOK524434 GEM524434:GEO524434 FUQ524434:FUS524434 FKU524434:FKW524434 FAY524434:FBA524434 ERC524434:ERE524434 EHG524434:EHI524434 DXK524434:DXM524434 DNO524434:DNQ524434 DDS524434:DDU524434 CTW524434:CTY524434 CKA524434:CKC524434 CAE524434:CAG524434 BQI524434:BQK524434 BGM524434:BGO524434 AWQ524434:AWS524434 AMU524434:AMW524434 ACY524434:ADA524434 TC524434:TE524434 JG524434:JI524434 K524434:M524434 WVS458898:WVU458898 WLW458898:WLY458898 WCA458898:WCC458898 VSE458898:VSG458898 VII458898:VIK458898 UYM458898:UYO458898 UOQ458898:UOS458898 UEU458898:UEW458898 TUY458898:TVA458898 TLC458898:TLE458898 TBG458898:TBI458898 SRK458898:SRM458898 SHO458898:SHQ458898 RXS458898:RXU458898 RNW458898:RNY458898 REA458898:REC458898 QUE458898:QUG458898 QKI458898:QKK458898 QAM458898:QAO458898 PQQ458898:PQS458898 PGU458898:PGW458898 OWY458898:OXA458898 ONC458898:ONE458898 ODG458898:ODI458898 NTK458898:NTM458898 NJO458898:NJQ458898 MZS458898:MZU458898 MPW458898:MPY458898 MGA458898:MGC458898 LWE458898:LWG458898 LMI458898:LMK458898 LCM458898:LCO458898 KSQ458898:KSS458898 KIU458898:KIW458898 JYY458898:JZA458898 JPC458898:JPE458898 JFG458898:JFI458898 IVK458898:IVM458898 ILO458898:ILQ458898 IBS458898:IBU458898 HRW458898:HRY458898 HIA458898:HIC458898 GYE458898:GYG458898 GOI458898:GOK458898 GEM458898:GEO458898 FUQ458898:FUS458898 FKU458898:FKW458898 FAY458898:FBA458898 ERC458898:ERE458898 EHG458898:EHI458898 DXK458898:DXM458898 DNO458898:DNQ458898 DDS458898:DDU458898 CTW458898:CTY458898 CKA458898:CKC458898 CAE458898:CAG458898 BQI458898:BQK458898 BGM458898:BGO458898 AWQ458898:AWS458898 AMU458898:AMW458898 ACY458898:ADA458898 TC458898:TE458898 JG458898:JI458898 K458898:M458898 WVS393362:WVU393362 WLW393362:WLY393362 WCA393362:WCC393362 VSE393362:VSG393362 VII393362:VIK393362 UYM393362:UYO393362 UOQ393362:UOS393362 UEU393362:UEW393362 TUY393362:TVA393362 TLC393362:TLE393362 TBG393362:TBI393362 SRK393362:SRM393362 SHO393362:SHQ393362 RXS393362:RXU393362 RNW393362:RNY393362 REA393362:REC393362 QUE393362:QUG393362 QKI393362:QKK393362 QAM393362:QAO393362 PQQ393362:PQS393362 PGU393362:PGW393362 OWY393362:OXA393362 ONC393362:ONE393362 ODG393362:ODI393362 NTK393362:NTM393362 NJO393362:NJQ393362 MZS393362:MZU393362 MPW393362:MPY393362 MGA393362:MGC393362 LWE393362:LWG393362 LMI393362:LMK393362 LCM393362:LCO393362 KSQ393362:KSS393362 KIU393362:KIW393362 JYY393362:JZA393362 JPC393362:JPE393362 JFG393362:JFI393362 IVK393362:IVM393362 ILO393362:ILQ393362 IBS393362:IBU393362 HRW393362:HRY393362 HIA393362:HIC393362 GYE393362:GYG393362 GOI393362:GOK393362 GEM393362:GEO393362 FUQ393362:FUS393362 FKU393362:FKW393362 FAY393362:FBA393362 ERC393362:ERE393362 EHG393362:EHI393362 DXK393362:DXM393362 DNO393362:DNQ393362 DDS393362:DDU393362 CTW393362:CTY393362 CKA393362:CKC393362 CAE393362:CAG393362 BQI393362:BQK393362 BGM393362:BGO393362 AWQ393362:AWS393362 AMU393362:AMW393362 ACY393362:ADA393362 TC393362:TE393362 JG393362:JI393362 K393362:M393362 WVS327826:WVU327826 WLW327826:WLY327826 WCA327826:WCC327826 VSE327826:VSG327826 VII327826:VIK327826 UYM327826:UYO327826 UOQ327826:UOS327826 UEU327826:UEW327826 TUY327826:TVA327826 TLC327826:TLE327826 TBG327826:TBI327826 SRK327826:SRM327826 SHO327826:SHQ327826 RXS327826:RXU327826 RNW327826:RNY327826 REA327826:REC327826 QUE327826:QUG327826 QKI327826:QKK327826 QAM327826:QAO327826 PQQ327826:PQS327826 PGU327826:PGW327826 OWY327826:OXA327826 ONC327826:ONE327826 ODG327826:ODI327826 NTK327826:NTM327826 NJO327826:NJQ327826 MZS327826:MZU327826 MPW327826:MPY327826 MGA327826:MGC327826 LWE327826:LWG327826 LMI327826:LMK327826 LCM327826:LCO327826 KSQ327826:KSS327826 KIU327826:KIW327826 JYY327826:JZA327826 JPC327826:JPE327826 JFG327826:JFI327826 IVK327826:IVM327826 ILO327826:ILQ327826 IBS327826:IBU327826 HRW327826:HRY327826 HIA327826:HIC327826 GYE327826:GYG327826 GOI327826:GOK327826 GEM327826:GEO327826 FUQ327826:FUS327826 FKU327826:FKW327826 FAY327826:FBA327826 ERC327826:ERE327826 EHG327826:EHI327826 DXK327826:DXM327826 DNO327826:DNQ327826 DDS327826:DDU327826 CTW327826:CTY327826 CKA327826:CKC327826 CAE327826:CAG327826 BQI327826:BQK327826 BGM327826:BGO327826 AWQ327826:AWS327826 AMU327826:AMW327826 ACY327826:ADA327826 TC327826:TE327826 JG327826:JI327826 K327826:M327826 WVS262290:WVU262290 WLW262290:WLY262290 WCA262290:WCC262290 VSE262290:VSG262290 VII262290:VIK262290 UYM262290:UYO262290 UOQ262290:UOS262290 UEU262290:UEW262290 TUY262290:TVA262290 TLC262290:TLE262290 TBG262290:TBI262290 SRK262290:SRM262290 SHO262290:SHQ262290 RXS262290:RXU262290 RNW262290:RNY262290 REA262290:REC262290 QUE262290:QUG262290 QKI262290:QKK262290 QAM262290:QAO262290 PQQ262290:PQS262290 PGU262290:PGW262290 OWY262290:OXA262290 ONC262290:ONE262290 ODG262290:ODI262290 NTK262290:NTM262290 NJO262290:NJQ262290 MZS262290:MZU262290 MPW262290:MPY262290 MGA262290:MGC262290 LWE262290:LWG262290 LMI262290:LMK262290 LCM262290:LCO262290 KSQ262290:KSS262290 KIU262290:KIW262290 JYY262290:JZA262290 JPC262290:JPE262290 JFG262290:JFI262290 IVK262290:IVM262290 ILO262290:ILQ262290 IBS262290:IBU262290 HRW262290:HRY262290 HIA262290:HIC262290 GYE262290:GYG262290 GOI262290:GOK262290 GEM262290:GEO262290 FUQ262290:FUS262290 FKU262290:FKW262290 FAY262290:FBA262290 ERC262290:ERE262290 EHG262290:EHI262290 DXK262290:DXM262290 DNO262290:DNQ262290 DDS262290:DDU262290 CTW262290:CTY262290 CKA262290:CKC262290 CAE262290:CAG262290 BQI262290:BQK262290 BGM262290:BGO262290 AWQ262290:AWS262290 AMU262290:AMW262290 ACY262290:ADA262290 TC262290:TE262290 JG262290:JI262290 K262290:M262290 WVS196754:WVU196754 WLW196754:WLY196754 WCA196754:WCC196754 VSE196754:VSG196754 VII196754:VIK196754 UYM196754:UYO196754 UOQ196754:UOS196754 UEU196754:UEW196754 TUY196754:TVA196754 TLC196754:TLE196754 TBG196754:TBI196754 SRK196754:SRM196754 SHO196754:SHQ196754 RXS196754:RXU196754 RNW196754:RNY196754 REA196754:REC196754 QUE196754:QUG196754 QKI196754:QKK196754 QAM196754:QAO196754 PQQ196754:PQS196754 PGU196754:PGW196754 OWY196754:OXA196754 ONC196754:ONE196754 ODG196754:ODI196754 NTK196754:NTM196754 NJO196754:NJQ196754 MZS196754:MZU196754 MPW196754:MPY196754 MGA196754:MGC196754 LWE196754:LWG196754 LMI196754:LMK196754 LCM196754:LCO196754 KSQ196754:KSS196754 KIU196754:KIW196754 JYY196754:JZA196754 JPC196754:JPE196754 JFG196754:JFI196754 IVK196754:IVM196754 ILO196754:ILQ196754 IBS196754:IBU196754 HRW196754:HRY196754 HIA196754:HIC196754 GYE196754:GYG196754 GOI196754:GOK196754 GEM196754:GEO196754 FUQ196754:FUS196754 FKU196754:FKW196754 FAY196754:FBA196754 ERC196754:ERE196754 EHG196754:EHI196754 DXK196754:DXM196754 DNO196754:DNQ196754 DDS196754:DDU196754 CTW196754:CTY196754 CKA196754:CKC196754 CAE196754:CAG196754 BQI196754:BQK196754 BGM196754:BGO196754 AWQ196754:AWS196754 AMU196754:AMW196754 ACY196754:ADA196754 TC196754:TE196754 JG196754:JI196754 K196754:M196754 WVS131218:WVU131218 WLW131218:WLY131218 WCA131218:WCC131218 VSE131218:VSG131218 VII131218:VIK131218 UYM131218:UYO131218 UOQ131218:UOS131218 UEU131218:UEW131218 TUY131218:TVA131218 TLC131218:TLE131218 TBG131218:TBI131218 SRK131218:SRM131218 SHO131218:SHQ131218 RXS131218:RXU131218 RNW131218:RNY131218 REA131218:REC131218 QUE131218:QUG131218 QKI131218:QKK131218 QAM131218:QAO131218 PQQ131218:PQS131218 PGU131218:PGW131218 OWY131218:OXA131218 ONC131218:ONE131218 ODG131218:ODI131218 NTK131218:NTM131218 NJO131218:NJQ131218 MZS131218:MZU131218 MPW131218:MPY131218 MGA131218:MGC131218 LWE131218:LWG131218 LMI131218:LMK131218 LCM131218:LCO131218 KSQ131218:KSS131218 KIU131218:KIW131218 JYY131218:JZA131218 JPC131218:JPE131218 JFG131218:JFI131218 IVK131218:IVM131218 ILO131218:ILQ131218 IBS131218:IBU131218 HRW131218:HRY131218 HIA131218:HIC131218 GYE131218:GYG131218 GOI131218:GOK131218 GEM131218:GEO131218 FUQ131218:FUS131218 FKU131218:FKW131218 FAY131218:FBA131218 ERC131218:ERE131218 EHG131218:EHI131218 DXK131218:DXM131218 DNO131218:DNQ131218 DDS131218:DDU131218 CTW131218:CTY131218 CKA131218:CKC131218 CAE131218:CAG131218 BQI131218:BQK131218 BGM131218:BGO131218 AWQ131218:AWS131218 AMU131218:AMW131218 ACY131218:ADA131218 TC131218:TE131218 JG131218:JI131218 K131218:M131218 WVS65682:WVU65682 WLW65682:WLY65682 WCA65682:WCC65682 VSE65682:VSG65682 VII65682:VIK65682 UYM65682:UYO65682 UOQ65682:UOS65682 UEU65682:UEW65682 TUY65682:TVA65682 TLC65682:TLE65682 TBG65682:TBI65682 SRK65682:SRM65682 SHO65682:SHQ65682 RXS65682:RXU65682 RNW65682:RNY65682 REA65682:REC65682 QUE65682:QUG65682 QKI65682:QKK65682 QAM65682:QAO65682 PQQ65682:PQS65682 PGU65682:PGW65682 OWY65682:OXA65682 ONC65682:ONE65682 ODG65682:ODI65682 NTK65682:NTM65682 NJO65682:NJQ65682 MZS65682:MZU65682 MPW65682:MPY65682 MGA65682:MGC65682 LWE65682:LWG65682 LMI65682:LMK65682 LCM65682:LCO65682 KSQ65682:KSS65682 KIU65682:KIW65682 JYY65682:JZA65682 JPC65682:JPE65682 JFG65682:JFI65682 IVK65682:IVM65682 ILO65682:ILQ65682 IBS65682:IBU65682 HRW65682:HRY65682 HIA65682:HIC65682 GYE65682:GYG65682 GOI65682:GOK65682 GEM65682:GEO65682 FUQ65682:FUS65682 FKU65682:FKW65682 FAY65682:FBA65682 ERC65682:ERE65682 EHG65682:EHI65682 DXK65682:DXM65682 DNO65682:DNQ65682 DDS65682:DDU65682 CTW65682:CTY65682 CKA65682:CKC65682 CAE65682:CAG65682 BQI65682:BQK65682 BGM65682:BGO65682 AWQ65682:AWS65682 AMU65682:AMW65682 ACY65682:ADA65682 TC65682:TE65682 JG65682:JI65682 K65682:M65682 WVS146:WVU146 WLW146:WLY146 WCA146:WCC146 VSE146:VSG146 VII146:VIK146 UYM146:UYO146 UOQ146:UOS146 UEU146:UEW146 TUY146:TVA146 TLC146:TLE146 TBG146:TBI146 SRK146:SRM146 SHO146:SHQ146 RXS146:RXU146 RNW146:RNY146 REA146:REC146 QUE146:QUG146 QKI146:QKK146 QAM146:QAO146 PQQ146:PQS146 PGU146:PGW146 OWY146:OXA146 ONC146:ONE146 ODG146:ODI146 NTK146:NTM146 NJO146:NJQ146 MZS146:MZU146 MPW146:MPY146 MGA146:MGC146 LWE146:LWG146 LMI146:LMK146 LCM146:LCO146 KSQ146:KSS146 KIU146:KIW146 JYY146:JZA146 JPC146:JPE146 JFG146:JFI146 IVK146:IVM146 ILO146:ILQ146 IBS146:IBU146 HRW146:HRY146 HIA146:HIC146 GYE146:GYG146 GOI146:GOK146 GEM146:GEO146 FUQ146:FUS146 FKU146:FKW146 FAY146:FBA146 ERC146:ERE146 EHG146:EHI146 DXK146:DXM146 DNO146:DNQ146 DDS146:DDU146 CTW146:CTY146 CKA146:CKC146 CAE146:CAG146 BQI146:BQK146 BGM146:BGO146 AWQ146:AWS146 AMU146:AMW146 ACY146:ADA146 TC146:TE146 JG146:JI146" xr:uid="{00000000-0002-0000-0300-000000000000}">
      <formula1>$S$9:$S$10</formula1>
    </dataValidation>
  </dataValidations>
  <pageMargins left="0.78740157480314965" right="0.39370078740157483" top="0.19685039370078741" bottom="0.19685039370078741" header="0.39370078740157483" footer="0.39370078740157483"/>
  <pageSetup paperSize="9" scale="59" fitToHeight="2" orientation="portrait" horizontalDpi="180" verticalDpi="180" r:id="rId1"/>
  <headerFooter alignWithMargins="0"/>
  <rowBreaks count="2" manualBreakCount="2">
    <brk id="74" max="13" man="1"/>
    <brk id="137" max="13" man="1"/>
  </rowBreaks>
  <drawing r:id="rId2"/>
  <legacyDrawing r:id="rId3"/>
  <oleObjects>
    <mc:AlternateContent xmlns:mc="http://schemas.openxmlformats.org/markup-compatibility/2006">
      <mc:Choice Requires="x14">
        <oleObject progId="Word.Picture.8" shapeId="4097" r:id="rId4">
          <objectPr defaultSize="0" autoPict="0" r:id="rId5">
            <anchor moveWithCells="1">
              <from>
                <xdr:col>0</xdr:col>
                <xdr:colOff>76200</xdr:colOff>
                <xdr:row>1</xdr:row>
                <xdr:rowOff>123825</xdr:rowOff>
              </from>
              <to>
                <xdr:col>2</xdr:col>
                <xdr:colOff>95250</xdr:colOff>
                <xdr:row>3</xdr:row>
                <xdr:rowOff>161925</xdr:rowOff>
              </to>
            </anchor>
          </objectPr>
        </oleObject>
      </mc:Choice>
      <mc:Fallback>
        <oleObject progId="Word.Picture.8" shapeId="4097" r:id="rId4"/>
      </mc:Fallback>
    </mc:AlternateContent>
    <mc:AlternateContent xmlns:mc="http://schemas.openxmlformats.org/markup-compatibility/2006">
      <mc:Choice Requires="x14">
        <oleObject progId="Word.Picture.8" shapeId="4098" r:id="rId6">
          <objectPr defaultSize="0" autoPict="0" r:id="rId5">
            <anchor moveWithCells="1">
              <from>
                <xdr:col>0</xdr:col>
                <xdr:colOff>19050</xdr:colOff>
                <xdr:row>75</xdr:row>
                <xdr:rowOff>133350</xdr:rowOff>
              </from>
              <to>
                <xdr:col>1</xdr:col>
                <xdr:colOff>533400</xdr:colOff>
                <xdr:row>77</xdr:row>
                <xdr:rowOff>85725</xdr:rowOff>
              </to>
            </anchor>
          </objectPr>
        </oleObject>
      </mc:Choice>
      <mc:Fallback>
        <oleObject progId="Word.Picture.8" shapeId="4098" r:id="rId6"/>
      </mc:Fallback>
    </mc:AlternateContent>
    <mc:AlternateContent xmlns:mc="http://schemas.openxmlformats.org/markup-compatibility/2006">
      <mc:Choice Requires="x14">
        <oleObject progId="Word.Picture.8" shapeId="4099" r:id="rId7">
          <objectPr defaultSize="0" autoPict="0" r:id="rId5">
            <anchor moveWithCells="1">
              <from>
                <xdr:col>0</xdr:col>
                <xdr:colOff>66675</xdr:colOff>
                <xdr:row>75</xdr:row>
                <xdr:rowOff>38100</xdr:rowOff>
              </from>
              <to>
                <xdr:col>2</xdr:col>
                <xdr:colOff>85725</xdr:colOff>
                <xdr:row>77</xdr:row>
                <xdr:rowOff>85725</xdr:rowOff>
              </to>
            </anchor>
          </objectPr>
        </oleObject>
      </mc:Choice>
      <mc:Fallback>
        <oleObject progId="Word.Picture.8" shapeId="4099" r:id="rId7"/>
      </mc:Fallback>
    </mc:AlternateContent>
    <mc:AlternateContent xmlns:mc="http://schemas.openxmlformats.org/markup-compatibility/2006">
      <mc:Choice Requires="x14">
        <oleObject progId="Word.Picture.8" shapeId="4101" r:id="rId8">
          <objectPr defaultSize="0" autoPict="0" r:id="rId5">
            <anchor moveWithCells="1">
              <from>
                <xdr:col>0</xdr:col>
                <xdr:colOff>247650</xdr:colOff>
                <xdr:row>138</xdr:row>
                <xdr:rowOff>76200</xdr:rowOff>
              </from>
              <to>
                <xdr:col>2</xdr:col>
                <xdr:colOff>209550</xdr:colOff>
                <xdr:row>140</xdr:row>
                <xdr:rowOff>114300</xdr:rowOff>
              </to>
            </anchor>
          </objectPr>
        </oleObject>
      </mc:Choice>
      <mc:Fallback>
        <oleObject progId="Word.Picture.8" shapeId="4101" r:id="rId8"/>
      </mc:Fallback>
    </mc:AlternateContent>
  </oleObjects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0" r:id="rId9" name="Drop Down 4">
              <controlPr defaultSize="0" autoLine="0" autoPict="0">
                <anchor>
                  <from>
                    <xdr:col>2</xdr:col>
                    <xdr:colOff>219075</xdr:colOff>
                    <xdr:row>9</xdr:row>
                    <xdr:rowOff>28575</xdr:rowOff>
                  </from>
                  <to>
                    <xdr:col>3</xdr:col>
                    <xdr:colOff>361950</xdr:colOff>
                    <xdr:row>10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122"/>
  <sheetViews>
    <sheetView showZeros="0" zoomScaleNormal="100" zoomScaleSheetLayoutView="72" workbookViewId="0">
      <selection activeCell="A10" sqref="A10"/>
    </sheetView>
  </sheetViews>
  <sheetFormatPr defaultColWidth="16" defaultRowHeight="15" customHeight="1"/>
  <cols>
    <col min="1" max="1" width="16" style="226" customWidth="1"/>
    <col min="2" max="8" width="16" style="277" customWidth="1"/>
    <col min="9" max="9" width="16" style="278" customWidth="1"/>
    <col min="10" max="16384" width="16" style="226"/>
  </cols>
  <sheetData>
    <row r="1" spans="1:29" ht="16.5" customHeight="1">
      <c r="A1" s="221"/>
      <c r="B1" s="222"/>
      <c r="C1" s="223"/>
      <c r="D1" s="222"/>
      <c r="E1" s="222"/>
      <c r="F1" s="222"/>
      <c r="G1" s="222"/>
      <c r="H1" s="222"/>
      <c r="I1" s="222"/>
      <c r="J1" s="224"/>
      <c r="K1" s="224"/>
      <c r="L1" s="222"/>
      <c r="M1" s="225"/>
      <c r="N1" s="222"/>
      <c r="O1" s="225"/>
    </row>
    <row r="2" spans="1:29" ht="16.5" customHeight="1">
      <c r="A2" s="227"/>
      <c r="B2" s="228"/>
      <c r="C2" s="229"/>
      <c r="D2" s="228"/>
      <c r="E2" s="230"/>
      <c r="F2" s="230"/>
      <c r="G2" s="228"/>
      <c r="H2" s="228" t="str">
        <f>RESUM!G2</f>
        <v>MAC QT 160 P</v>
      </c>
      <c r="I2" s="228"/>
      <c r="L2" s="231"/>
      <c r="M2" s="232"/>
      <c r="N2" s="231"/>
      <c r="O2" s="232"/>
    </row>
    <row r="3" spans="1:29" ht="16.5" customHeight="1">
      <c r="A3" s="227"/>
      <c r="B3" s="230"/>
      <c r="C3" s="233"/>
      <c r="D3" s="230"/>
      <c r="E3" s="230"/>
      <c r="F3" s="230"/>
      <c r="G3" s="230"/>
      <c r="H3" s="230"/>
      <c r="I3" s="230"/>
      <c r="L3" s="231"/>
      <c r="M3" s="438"/>
      <c r="N3" s="231"/>
      <c r="O3" s="438"/>
    </row>
    <row r="4" spans="1:29" ht="16.5" customHeight="1">
      <c r="A4" s="227"/>
      <c r="B4" s="234"/>
      <c r="C4" s="235"/>
      <c r="D4" s="234"/>
      <c r="E4" s="230"/>
      <c r="F4" s="230"/>
      <c r="G4" s="234"/>
      <c r="H4" s="234" t="s">
        <v>182</v>
      </c>
      <c r="I4" s="234"/>
      <c r="L4" s="231"/>
      <c r="M4" s="232"/>
      <c r="N4" s="231"/>
      <c r="O4" s="232"/>
    </row>
    <row r="5" spans="1:29" ht="16.5" customHeight="1">
      <c r="A5" s="227"/>
      <c r="B5" s="230"/>
      <c r="C5" s="233"/>
      <c r="D5" s="230"/>
      <c r="E5" s="230"/>
      <c r="F5" s="230"/>
      <c r="G5" s="230"/>
      <c r="H5" s="230"/>
      <c r="I5" s="230"/>
      <c r="L5" s="231"/>
      <c r="M5" s="236"/>
      <c r="N5" s="231" t="s">
        <v>144</v>
      </c>
      <c r="O5" s="236">
        <f>RESUM!O5</f>
        <v>45239</v>
      </c>
    </row>
    <row r="6" spans="1:29" ht="16.5" customHeight="1" thickBot="1">
      <c r="A6" s="237"/>
      <c r="B6" s="238"/>
      <c r="C6" s="239"/>
      <c r="D6" s="238"/>
      <c r="E6" s="238"/>
      <c r="F6" s="238"/>
      <c r="G6" s="238"/>
      <c r="H6" s="238"/>
      <c r="I6" s="238"/>
      <c r="J6" s="240"/>
      <c r="K6" s="240"/>
      <c r="L6" s="238"/>
      <c r="M6" s="241"/>
      <c r="N6" s="238"/>
      <c r="O6" s="241"/>
    </row>
    <row r="7" spans="1:29" s="246" customFormat="1" ht="16.5" customHeight="1">
      <c r="A7" s="242"/>
      <c r="B7" s="243"/>
      <c r="C7" s="243"/>
      <c r="D7" s="243"/>
      <c r="E7" s="243"/>
      <c r="F7" s="243"/>
      <c r="G7" s="243"/>
      <c r="H7" s="243"/>
      <c r="I7" s="244"/>
      <c r="J7" s="243"/>
      <c r="K7" s="245"/>
      <c r="L7" s="245"/>
      <c r="M7" s="245"/>
      <c r="N7" s="245"/>
      <c r="O7" s="245"/>
      <c r="P7" s="245"/>
      <c r="Q7" s="245"/>
      <c r="R7" s="245"/>
      <c r="S7" s="245"/>
      <c r="T7" s="245"/>
      <c r="U7" s="245"/>
      <c r="V7" s="245"/>
      <c r="W7" s="245"/>
      <c r="X7" s="245"/>
      <c r="Y7" s="245"/>
      <c r="Z7" s="245"/>
      <c r="AA7" s="245"/>
      <c r="AB7" s="245"/>
      <c r="AC7" s="245"/>
    </row>
    <row r="8" spans="1:29" ht="16.5" customHeight="1">
      <c r="A8" s="247"/>
      <c r="B8" s="248" t="str">
        <f>'driving mode parameters'!B8</f>
        <v>MAC QT 160 P</v>
      </c>
      <c r="C8" s="248" t="str">
        <f>'driving mode parameters'!C8</f>
        <v>MAC QT 160 P</v>
      </c>
      <c r="D8" s="248" t="str">
        <f>'driving mode parameters'!D8</f>
        <v>MAC QT 160 P</v>
      </c>
      <c r="E8" s="248" t="str">
        <f>'driving mode parameters'!E8</f>
        <v>MAC QT 160 P</v>
      </c>
      <c r="F8" s="248" t="str">
        <f>'driving mode parameters'!F8</f>
        <v>MAC QT 160 P</v>
      </c>
      <c r="G8" s="248" t="str">
        <f>'driving mode parameters'!G8</f>
        <v>MAC QT 160 P</v>
      </c>
      <c r="H8" s="248" t="str">
        <f>'driving mode parameters'!H8</f>
        <v>MAC QT 160 P</v>
      </c>
      <c r="I8" s="248" t="str">
        <f>'driving mode parameters'!I8</f>
        <v>MAC QT 160 P</v>
      </c>
      <c r="J8" s="248" t="str">
        <f>'driving mode parameters'!J8</f>
        <v>MAC QT 160 P</v>
      </c>
      <c r="K8" s="248" t="str">
        <f>'driving mode parameters'!K8</f>
        <v>MAC QT 160 P</v>
      </c>
      <c r="L8" s="248" t="str">
        <f>'driving mode parameters'!L8</f>
        <v>MAC QT 160 P</v>
      </c>
      <c r="M8" s="248" t="str">
        <f>'driving mode parameters'!M8</f>
        <v>MAC QT 160 P</v>
      </c>
      <c r="N8" s="392" t="str">
        <f>'driving mode parameters'!N8</f>
        <v>MAC QT 160 P</v>
      </c>
      <c r="O8" s="392" t="str">
        <f>'driving mode parameters'!O8</f>
        <v>MAC QT 160 P</v>
      </c>
    </row>
    <row r="9" spans="1:29" s="250" customFormat="1" ht="16.5" customHeight="1">
      <c r="A9" s="249"/>
      <c r="B9" s="375" t="str">
        <f>'driving mode parameters'!B9</f>
        <v>A41</v>
      </c>
      <c r="C9" s="375" t="str">
        <f>'driving mode parameters'!C9</f>
        <v>B41</v>
      </c>
      <c r="D9" s="375" t="str">
        <f>'driving mode parameters'!D9</f>
        <v>C41</v>
      </c>
      <c r="E9" s="375" t="str">
        <f>'driving mode parameters'!E9</f>
        <v>D41</v>
      </c>
      <c r="F9" s="375" t="str">
        <f>'driving mode parameters'!F9</f>
        <v>E41</v>
      </c>
      <c r="G9" s="375" t="str">
        <f>'driving mode parameters'!G9</f>
        <v>F41</v>
      </c>
      <c r="H9" s="375" t="str">
        <f>'driving mode parameters'!H9</f>
        <v>G41</v>
      </c>
      <c r="I9" s="375" t="str">
        <f>'driving mode parameters'!I9</f>
        <v>H41</v>
      </c>
      <c r="J9" s="375" t="str">
        <f>'driving mode parameters'!J9</f>
        <v>I41</v>
      </c>
      <c r="K9" s="375" t="str">
        <f>'driving mode parameters'!K9</f>
        <v>F42</v>
      </c>
      <c r="L9" s="375" t="str">
        <f>'driving mode parameters'!L9</f>
        <v>G42</v>
      </c>
      <c r="M9" s="375" t="str">
        <f>'driving mode parameters'!M9</f>
        <v>H42</v>
      </c>
      <c r="N9" s="393">
        <f>'driving mode parameters'!N9</f>
        <v>0</v>
      </c>
      <c r="O9" s="393">
        <f>'driving mode parameters'!O9</f>
        <v>0</v>
      </c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</row>
    <row r="10" spans="1:29" ht="16.5" customHeight="1">
      <c r="A10" s="283" t="str">
        <f>'driving mode parameters'!A10</f>
        <v>Poles</v>
      </c>
      <c r="B10" s="251">
        <f>'driving mode parameters'!B10</f>
        <v>4</v>
      </c>
      <c r="C10" s="251">
        <f>'driving mode parameters'!U12</f>
        <v>4</v>
      </c>
      <c r="D10" s="251">
        <f>'driving mode parameters'!V12</f>
        <v>4</v>
      </c>
      <c r="E10" s="251">
        <f>'driving mode parameters'!E10</f>
        <v>4</v>
      </c>
      <c r="F10" s="251">
        <f>'driving mode parameters'!F10</f>
        <v>4</v>
      </c>
      <c r="G10" s="251">
        <f>'driving mode parameters'!G10</f>
        <v>4</v>
      </c>
      <c r="H10" s="251">
        <f>'driving mode parameters'!H10</f>
        <v>4</v>
      </c>
      <c r="I10" s="251">
        <f>'driving mode parameters'!I10</f>
        <v>4</v>
      </c>
      <c r="J10" s="251">
        <f>'driving mode parameters'!J10</f>
        <v>4</v>
      </c>
      <c r="K10" s="251">
        <f>'driving mode parameters'!K10</f>
        <v>4</v>
      </c>
      <c r="L10" s="251">
        <f>'driving mode parameters'!L10</f>
        <v>4</v>
      </c>
      <c r="M10" s="251">
        <f>'driving mode parameters'!M10</f>
        <v>4</v>
      </c>
      <c r="N10" s="394">
        <f>'driving mode parameters'!N10</f>
        <v>4</v>
      </c>
      <c r="O10" s="394">
        <f>'driving mode parameters'!O10</f>
        <v>4</v>
      </c>
    </row>
    <row r="11" spans="1:29" s="254" customFormat="1" ht="16.5" customHeight="1">
      <c r="A11" s="252" t="s">
        <v>79</v>
      </c>
      <c r="B11" s="253">
        <f>'absorbing mode datasheet'!B27</f>
        <v>540</v>
      </c>
      <c r="C11" s="253">
        <f>'absorbing mode datasheet'!B28</f>
        <v>540</v>
      </c>
      <c r="D11" s="253">
        <f>'absorbing mode datasheet'!B29</f>
        <v>540</v>
      </c>
      <c r="E11" s="253">
        <f>'absorbing mode datasheet'!B30</f>
        <v>540</v>
      </c>
      <c r="F11" s="253">
        <f>'absorbing mode datasheet'!B31</f>
        <v>540</v>
      </c>
      <c r="G11" s="253">
        <f>'absorbing mode datasheet'!B32</f>
        <v>540</v>
      </c>
      <c r="H11" s="253">
        <f>'absorbing mode datasheet'!B33</f>
        <v>540</v>
      </c>
      <c r="I11" s="253">
        <f>'absorbing mode datasheet'!B34</f>
        <v>540</v>
      </c>
      <c r="J11" s="253">
        <f>'absorbing mode datasheet'!B35</f>
        <v>540</v>
      </c>
      <c r="K11" s="253">
        <f>'absorbing mode datasheet'!B36</f>
        <v>520</v>
      </c>
      <c r="L11" s="253">
        <f>'absorbing mode datasheet'!B37</f>
        <v>500</v>
      </c>
      <c r="M11" s="253">
        <f>'absorbing mode datasheet'!B38</f>
        <v>480</v>
      </c>
      <c r="N11" s="395">
        <f>'absorbing mode datasheet'!B39</f>
        <v>0</v>
      </c>
      <c r="O11" s="395">
        <f>'absorbing mode datasheet'!B40</f>
        <v>0</v>
      </c>
      <c r="P11" s="226"/>
      <c r="Q11" s="226"/>
      <c r="R11" s="226"/>
      <c r="S11" s="226"/>
      <c r="T11" s="226"/>
      <c r="U11" s="226"/>
      <c r="V11" s="226"/>
      <c r="W11" s="226"/>
      <c r="X11" s="226"/>
      <c r="Y11" s="226"/>
      <c r="Z11" s="226"/>
      <c r="AA11" s="226"/>
      <c r="AB11" s="226"/>
      <c r="AC11" s="226"/>
    </row>
    <row r="12" spans="1:29" ht="16.5" customHeight="1">
      <c r="A12" s="247" t="s">
        <v>82</v>
      </c>
      <c r="B12" s="255">
        <f>'absorbing mode datasheet'!E27</f>
        <v>657</v>
      </c>
      <c r="C12" s="255">
        <f>'absorbing mode datasheet'!E28</f>
        <v>807</v>
      </c>
      <c r="D12" s="255">
        <f>'absorbing mode datasheet'!E29</f>
        <v>926</v>
      </c>
      <c r="E12" s="255">
        <f>'absorbing mode datasheet'!E30</f>
        <v>1107</v>
      </c>
      <c r="F12" s="255">
        <f>'absorbing mode datasheet'!E31</f>
        <v>1227</v>
      </c>
      <c r="G12" s="255">
        <f>'absorbing mode datasheet'!E32</f>
        <v>1377</v>
      </c>
      <c r="H12" s="255">
        <f>'absorbing mode datasheet'!E33</f>
        <v>1557</v>
      </c>
      <c r="I12" s="255">
        <f>'absorbing mode datasheet'!E34</f>
        <v>1796</v>
      </c>
      <c r="J12" s="255">
        <f>'absorbing mode datasheet'!E35</f>
        <v>2157</v>
      </c>
      <c r="K12" s="255">
        <f>'absorbing mode datasheet'!E36</f>
        <v>2336</v>
      </c>
      <c r="L12" s="255">
        <f>'absorbing mode datasheet'!E37</f>
        <v>2665</v>
      </c>
      <c r="M12" s="255">
        <f>'absorbing mode datasheet'!E38</f>
        <v>3084</v>
      </c>
      <c r="N12" s="396">
        <f>'absorbing mode datasheet'!E39</f>
        <v>0</v>
      </c>
      <c r="O12" s="396">
        <f>'absorbing mode datasheet'!E40</f>
        <v>0</v>
      </c>
    </row>
    <row r="13" spans="1:29" s="259" customFormat="1" ht="16.5" customHeight="1">
      <c r="A13" s="256" t="s">
        <v>81</v>
      </c>
      <c r="B13" s="257">
        <f>B12*B11*PI()/30000</f>
        <v>37.152474721352895</v>
      </c>
      <c r="C13" s="257">
        <f t="shared" ref="C13:J13" si="0">C12*C11*PI()/30000</f>
        <v>45.634774886045335</v>
      </c>
      <c r="D13" s="257">
        <f t="shared" si="0"/>
        <v>52.364066350034669</v>
      </c>
      <c r="E13" s="257">
        <f t="shared" si="0"/>
        <v>62.599375215430214</v>
      </c>
      <c r="F13" s="257">
        <f t="shared" si="0"/>
        <v>69.385215347184172</v>
      </c>
      <c r="G13" s="257">
        <f t="shared" si="0"/>
        <v>77.867515511876604</v>
      </c>
      <c r="H13" s="257">
        <f t="shared" si="0"/>
        <v>88.04627570950754</v>
      </c>
      <c r="I13" s="257">
        <f t="shared" si="0"/>
        <v>101.56140730525082</v>
      </c>
      <c r="J13" s="257">
        <f t="shared" si="0"/>
        <v>121.9754763682773</v>
      </c>
      <c r="K13" s="257">
        <f>K12*K11*PI()/30000</f>
        <v>127.20518093895312</v>
      </c>
      <c r="L13" s="257">
        <f>L12*L11*PI()/30000</f>
        <v>139.53907369694664</v>
      </c>
      <c r="M13" s="257">
        <f>M12*M11*PI()/30000</f>
        <v>155.01874789873477</v>
      </c>
      <c r="N13" s="397">
        <f t="shared" ref="N13:O13" si="1">N12*N11*PI()/30000</f>
        <v>0</v>
      </c>
      <c r="O13" s="397">
        <f t="shared" si="1"/>
        <v>0</v>
      </c>
      <c r="P13" s="258"/>
      <c r="Q13" s="258"/>
      <c r="R13" s="258"/>
      <c r="S13" s="258"/>
      <c r="T13" s="258"/>
      <c r="U13" s="258"/>
      <c r="V13" s="258"/>
      <c r="W13" s="258"/>
      <c r="X13" s="258"/>
      <c r="Y13" s="258"/>
      <c r="Z13" s="258"/>
      <c r="AA13" s="258"/>
      <c r="AB13" s="258"/>
      <c r="AC13" s="258"/>
    </row>
    <row r="14" spans="1:29" s="254" customFormat="1" ht="16.5" customHeight="1">
      <c r="A14" s="252" t="s">
        <v>130</v>
      </c>
      <c r="B14" s="253">
        <f>'absorbing mode datasheet'!$F$21</f>
        <v>400</v>
      </c>
      <c r="C14" s="253">
        <f>'absorbing mode datasheet'!$F$21</f>
        <v>400</v>
      </c>
      <c r="D14" s="253">
        <f>'absorbing mode datasheet'!$F$21</f>
        <v>400</v>
      </c>
      <c r="E14" s="253">
        <f>'absorbing mode datasheet'!$F$21</f>
        <v>400</v>
      </c>
      <c r="F14" s="253">
        <f>'absorbing mode datasheet'!$F$21</f>
        <v>400</v>
      </c>
      <c r="G14" s="253">
        <f>'absorbing mode datasheet'!$F$21</f>
        <v>400</v>
      </c>
      <c r="H14" s="253">
        <f>'absorbing mode datasheet'!$F$21</f>
        <v>400</v>
      </c>
      <c r="I14" s="253">
        <f>'absorbing mode datasheet'!$F$21</f>
        <v>400</v>
      </c>
      <c r="J14" s="253">
        <f>'absorbing mode datasheet'!$F$21</f>
        <v>400</v>
      </c>
      <c r="K14" s="253">
        <f>'absorbing mode datasheet'!$F$21</f>
        <v>400</v>
      </c>
      <c r="L14" s="253">
        <f>'absorbing mode datasheet'!$F$21</f>
        <v>400</v>
      </c>
      <c r="M14" s="253">
        <f>'absorbing mode datasheet'!$F$21</f>
        <v>400</v>
      </c>
      <c r="N14" s="395">
        <f>'absorbing mode datasheet'!$F$21</f>
        <v>400</v>
      </c>
      <c r="O14" s="395">
        <f>'absorbing mode datasheet'!$F$21</f>
        <v>400</v>
      </c>
      <c r="P14" s="226"/>
      <c r="Q14" s="226"/>
      <c r="R14" s="226"/>
      <c r="S14" s="226"/>
      <c r="T14" s="226"/>
      <c r="U14" s="226"/>
      <c r="V14" s="226"/>
      <c r="W14" s="226"/>
      <c r="X14" s="226"/>
      <c r="Y14" s="226"/>
      <c r="Z14" s="226"/>
      <c r="AA14" s="226"/>
      <c r="AB14" s="226"/>
      <c r="AC14" s="226"/>
    </row>
    <row r="15" spans="1:29" s="258" customFormat="1" ht="16.5" customHeight="1">
      <c r="A15" s="260" t="s">
        <v>35</v>
      </c>
      <c r="B15" s="261">
        <f>'absorbing mode datasheet'!C27</f>
        <v>57</v>
      </c>
      <c r="C15" s="261">
        <f>'absorbing mode datasheet'!C28</f>
        <v>75.2</v>
      </c>
      <c r="D15" s="261">
        <f>'absorbing mode datasheet'!C29</f>
        <v>87.1</v>
      </c>
      <c r="E15" s="261">
        <f>'absorbing mode datasheet'!C30</f>
        <v>104.9</v>
      </c>
      <c r="F15" s="261">
        <f>'absorbing mode datasheet'!C31</f>
        <v>116.4</v>
      </c>
      <c r="G15" s="261">
        <f>'absorbing mode datasheet'!C32</f>
        <v>130.9</v>
      </c>
      <c r="H15" s="261">
        <f>'absorbing mode datasheet'!C33</f>
        <v>149.4</v>
      </c>
      <c r="I15" s="261">
        <f>'absorbing mode datasheet'!C34</f>
        <v>174.3</v>
      </c>
      <c r="J15" s="261">
        <f>'absorbing mode datasheet'!C35</f>
        <v>208.9</v>
      </c>
      <c r="K15" s="261">
        <f>'absorbing mode datasheet'!C36</f>
        <v>219.3</v>
      </c>
      <c r="L15" s="261">
        <f>'absorbing mode datasheet'!C37</f>
        <v>242.9</v>
      </c>
      <c r="M15" s="261">
        <f>'absorbing mode datasheet'!C38</f>
        <v>274.60000000000002</v>
      </c>
      <c r="N15" s="398">
        <f>'absorbing mode datasheet'!C39</f>
        <v>0</v>
      </c>
      <c r="O15" s="398">
        <f>'absorbing mode datasheet'!C40</f>
        <v>0</v>
      </c>
    </row>
    <row r="16" spans="1:29" ht="16.5" customHeight="1">
      <c r="A16" s="247" t="s">
        <v>83</v>
      </c>
      <c r="B16" s="261">
        <f>'absorbing mode datasheet'!F27</f>
        <v>21</v>
      </c>
      <c r="C16" s="261">
        <f>'absorbing mode datasheet'!F28</f>
        <v>26</v>
      </c>
      <c r="D16" s="261">
        <f>'absorbing mode datasheet'!F29</f>
        <v>30</v>
      </c>
      <c r="E16" s="261">
        <f>'absorbing mode datasheet'!F30</f>
        <v>36</v>
      </c>
      <c r="F16" s="261">
        <f>'absorbing mode datasheet'!F31</f>
        <v>40</v>
      </c>
      <c r="G16" s="261">
        <f>'absorbing mode datasheet'!F32</f>
        <v>45</v>
      </c>
      <c r="H16" s="261">
        <f>'absorbing mode datasheet'!F33</f>
        <v>51</v>
      </c>
      <c r="I16" s="261">
        <f>'absorbing mode datasheet'!F34</f>
        <v>59</v>
      </c>
      <c r="J16" s="261">
        <f>'absorbing mode datasheet'!F35</f>
        <v>71</v>
      </c>
      <c r="K16" s="261">
        <f>'absorbing mode datasheet'!F36</f>
        <v>77</v>
      </c>
      <c r="L16" s="261">
        <f>'absorbing mode datasheet'!F37</f>
        <v>88</v>
      </c>
      <c r="M16" s="261">
        <f>'absorbing mode datasheet'!F38</f>
        <v>102</v>
      </c>
      <c r="N16" s="398">
        <f>'absorbing mode datasheet'!F39</f>
        <v>0</v>
      </c>
      <c r="O16" s="398">
        <f>'absorbing mode datasheet'!F40</f>
        <v>0</v>
      </c>
    </row>
    <row r="17" spans="1:29" ht="16.5" customHeight="1">
      <c r="A17" s="247" t="s">
        <v>133</v>
      </c>
      <c r="B17" s="262">
        <f>B13*B18*1000/B14/B15/3^0.5</f>
        <v>0.83353282465307499</v>
      </c>
      <c r="C17" s="262">
        <f t="shared" ref="C17:M17" si="2">C13*C18*1000/C14/C15/3^0.5</f>
        <v>0.79013414987934061</v>
      </c>
      <c r="D17" s="262">
        <f t="shared" si="2"/>
        <v>0.79345391381211317</v>
      </c>
      <c r="E17" s="262">
        <f t="shared" si="2"/>
        <v>0.79783678808774239</v>
      </c>
      <c r="F17" s="262">
        <f t="shared" si="2"/>
        <v>0.80250203685160337</v>
      </c>
      <c r="G17" s="262">
        <f t="shared" si="2"/>
        <v>0.8059540152621435</v>
      </c>
      <c r="H17" s="262">
        <f t="shared" si="2"/>
        <v>0.80362427279073556</v>
      </c>
      <c r="I17" s="262">
        <f t="shared" si="2"/>
        <v>0.79953559600286772</v>
      </c>
      <c r="J17" s="262">
        <f t="shared" si="2"/>
        <v>0.80616022255721786</v>
      </c>
      <c r="K17" s="262">
        <f t="shared" si="2"/>
        <v>0.80306522199329056</v>
      </c>
      <c r="L17" s="262">
        <f t="shared" si="2"/>
        <v>0.79818131504431244</v>
      </c>
      <c r="M17" s="262">
        <f t="shared" si="2"/>
        <v>0.78662987510122162</v>
      </c>
      <c r="N17" s="399" t="e">
        <f t="shared" ref="N17:O17" si="3">N13*N18*1000/N14/N15/3^0.5</f>
        <v>#DIV/0!</v>
      </c>
      <c r="O17" s="399" t="e">
        <f t="shared" si="3"/>
        <v>#DIV/0!</v>
      </c>
    </row>
    <row r="18" spans="1:29" s="250" customFormat="1" ht="16.5" customHeight="1">
      <c r="A18" s="249" t="s">
        <v>146</v>
      </c>
      <c r="B18" s="263">
        <f>(B13*1000-3*B23/1000*B15^2-3*B24/1000*(B15^2-B32^2)-3*(2*PI()*B16*B28/1000*B32)^2/B25)/B13/1000</f>
        <v>0.88599329261917159</v>
      </c>
      <c r="C18" s="263">
        <f t="shared" ref="C18:M18" si="4">(C13*1000-3*C23/1000*C15^2-3*C24/1000*(C15^2-C32^2)-3*(2*PI()*C16*C28/1000*C32)^2/C25)/C13/1000</f>
        <v>0.90207652111300074</v>
      </c>
      <c r="D18" s="263">
        <f t="shared" si="4"/>
        <v>0.91438083718954488</v>
      </c>
      <c r="E18" s="263">
        <f t="shared" si="4"/>
        <v>0.92627547602799643</v>
      </c>
      <c r="F18" s="263">
        <f t="shared" si="4"/>
        <v>0.9327232484750857</v>
      </c>
      <c r="G18" s="263">
        <f t="shared" si="4"/>
        <v>0.9386727503054364</v>
      </c>
      <c r="H18" s="263">
        <f t="shared" si="4"/>
        <v>0.94474210559034411</v>
      </c>
      <c r="I18" s="263">
        <f t="shared" si="4"/>
        <v>0.95066411185560706</v>
      </c>
      <c r="J18" s="263">
        <f t="shared" si="4"/>
        <v>0.95655049595535935</v>
      </c>
      <c r="K18" s="263">
        <f t="shared" si="4"/>
        <v>0.95919138354108779</v>
      </c>
      <c r="L18" s="263">
        <f t="shared" si="4"/>
        <v>0.96261772629576337</v>
      </c>
      <c r="M18" s="263">
        <f t="shared" si="4"/>
        <v>0.96540015262572976</v>
      </c>
      <c r="N18" s="400" t="e">
        <f t="shared" ref="N18:O18" si="5">(N13*1000-3*N23/1000*N15^2-3*N24/1000*(N15^2-N32^2)-3*(2*PI()*N16*N28/1000*N32)^2/N25)/N13/1000</f>
        <v>#DIV/0!</v>
      </c>
      <c r="O18" s="400" t="e">
        <f t="shared" si="5"/>
        <v>#DIV/0!</v>
      </c>
      <c r="P18" s="226"/>
      <c r="Q18" s="226"/>
      <c r="R18" s="226"/>
      <c r="S18" s="226"/>
      <c r="T18" s="226"/>
      <c r="U18" s="226"/>
      <c r="V18" s="226"/>
      <c r="W18" s="226"/>
      <c r="X18" s="226"/>
      <c r="Y18" s="226"/>
      <c r="Z18" s="226"/>
      <c r="AA18" s="226"/>
      <c r="AB18" s="226"/>
      <c r="AC18" s="226"/>
    </row>
    <row r="19" spans="1:29" ht="16.5" customHeight="1">
      <c r="A19" s="247" t="s">
        <v>147</v>
      </c>
      <c r="B19" s="264">
        <f>'driving mode parameters'!B19</f>
        <v>0.46263199999999999</v>
      </c>
      <c r="C19" s="264">
        <f>'driving mode parameters'!C19</f>
        <v>0.46263199999999999</v>
      </c>
      <c r="D19" s="264">
        <f>'driving mode parameters'!D19</f>
        <v>0.46263199999999999</v>
      </c>
      <c r="E19" s="264">
        <f>'driving mode parameters'!E19</f>
        <v>0.46263199999999999</v>
      </c>
      <c r="F19" s="264">
        <f>'driving mode parameters'!F19</f>
        <v>0.46263199999999999</v>
      </c>
      <c r="G19" s="264">
        <f>'driving mode parameters'!G19</f>
        <v>0.46263199999999999</v>
      </c>
      <c r="H19" s="264">
        <f>'driving mode parameters'!H19</f>
        <v>0.46263199999999999</v>
      </c>
      <c r="I19" s="264">
        <f>'driving mode parameters'!I19</f>
        <v>0.46263199999999999</v>
      </c>
      <c r="J19" s="264">
        <f>'driving mode parameters'!J19</f>
        <v>0.46263199999999999</v>
      </c>
      <c r="K19" s="264">
        <f>'driving mode parameters'!K19</f>
        <v>0.46263199999999999</v>
      </c>
      <c r="L19" s="264">
        <f>'driving mode parameters'!L19</f>
        <v>0.46263199999999999</v>
      </c>
      <c r="M19" s="264">
        <f>'driving mode parameters'!M19</f>
        <v>0.46263199999999999</v>
      </c>
      <c r="N19" s="401">
        <f>'driving mode parameters'!N19</f>
        <v>0</v>
      </c>
      <c r="O19" s="401">
        <f>'driving mode parameters'!O19</f>
        <v>0</v>
      </c>
    </row>
    <row r="20" spans="1:29" s="246" customFormat="1" ht="16.5" customHeight="1">
      <c r="A20" s="265"/>
      <c r="B20" s="243" t="str">
        <f>'driving mode parameters'!B20</f>
        <v>ESQUEMA EQUIVALENTE POR FASE EN ESTRELLA / PHASE STAR EQUIVALENT SCHEMA</v>
      </c>
      <c r="C20" s="266"/>
      <c r="D20" s="266"/>
      <c r="E20" s="266"/>
      <c r="F20" s="266"/>
      <c r="G20" s="266"/>
      <c r="H20" s="266"/>
      <c r="I20" s="266"/>
      <c r="J20" s="266"/>
      <c r="K20" s="266"/>
      <c r="L20" s="266"/>
      <c r="M20" s="266"/>
      <c r="N20" s="402"/>
      <c r="O20" s="402"/>
      <c r="P20" s="245"/>
      <c r="Q20" s="245"/>
      <c r="R20" s="245"/>
      <c r="S20" s="245"/>
      <c r="T20" s="245"/>
      <c r="U20" s="245"/>
      <c r="V20" s="245"/>
      <c r="W20" s="245"/>
      <c r="X20" s="245"/>
      <c r="Y20" s="245"/>
      <c r="Z20" s="245"/>
      <c r="AA20" s="245"/>
      <c r="AB20" s="245"/>
      <c r="AC20" s="245"/>
    </row>
    <row r="21" spans="1:29" s="254" customFormat="1" ht="16.5" customHeight="1">
      <c r="A21" s="252"/>
      <c r="B21" s="248" t="str">
        <f>'driving mode parameters'!B21</f>
        <v>MAC QT 160 P</v>
      </c>
      <c r="C21" s="248" t="str">
        <f>'driving mode parameters'!C21</f>
        <v>MAC QT 160 P</v>
      </c>
      <c r="D21" s="248" t="str">
        <f>'driving mode parameters'!D21</f>
        <v>MAC QT 160 P</v>
      </c>
      <c r="E21" s="248" t="str">
        <f>'driving mode parameters'!E21</f>
        <v>MAC QT 160 P</v>
      </c>
      <c r="F21" s="248" t="str">
        <f>'driving mode parameters'!F21</f>
        <v>MAC QT 160 P</v>
      </c>
      <c r="G21" s="248" t="str">
        <f>'driving mode parameters'!G21</f>
        <v>MAC QT 160 P</v>
      </c>
      <c r="H21" s="248" t="str">
        <f>'driving mode parameters'!H21</f>
        <v>MAC QT 160 P</v>
      </c>
      <c r="I21" s="248" t="str">
        <f>'driving mode parameters'!I21</f>
        <v>MAC QT 160 P</v>
      </c>
      <c r="J21" s="248" t="str">
        <f>'driving mode parameters'!J21</f>
        <v>MAC QT 160 P</v>
      </c>
      <c r="K21" s="248" t="str">
        <f>'driving mode parameters'!K21</f>
        <v>MAC QT 160 P</v>
      </c>
      <c r="L21" s="248" t="str">
        <f>'driving mode parameters'!L21</f>
        <v>MAC QT 160 P</v>
      </c>
      <c r="M21" s="248" t="str">
        <f>'driving mode parameters'!M21</f>
        <v>MAC QT 160 P</v>
      </c>
      <c r="N21" s="392" t="str">
        <f>'driving mode parameters'!N21</f>
        <v>MAC QT 160 P</v>
      </c>
      <c r="O21" s="392" t="str">
        <f>'driving mode parameters'!O21</f>
        <v>MAC QT 160 P</v>
      </c>
      <c r="P21" s="226"/>
      <c r="Q21" s="226"/>
      <c r="R21" s="226"/>
      <c r="S21" s="226"/>
      <c r="T21" s="226"/>
      <c r="U21" s="226"/>
      <c r="V21" s="226"/>
      <c r="W21" s="226"/>
      <c r="X21" s="226"/>
      <c r="Y21" s="226"/>
      <c r="Z21" s="226"/>
      <c r="AA21" s="226"/>
      <c r="AB21" s="226"/>
      <c r="AC21" s="226"/>
    </row>
    <row r="22" spans="1:29" s="250" customFormat="1" ht="16.5" customHeight="1">
      <c r="A22" s="249"/>
      <c r="B22" s="375" t="str">
        <f>'driving mode parameters'!B22</f>
        <v>A41</v>
      </c>
      <c r="C22" s="375" t="str">
        <f>'driving mode parameters'!C22</f>
        <v>B41</v>
      </c>
      <c r="D22" s="375" t="str">
        <f>'driving mode parameters'!D22</f>
        <v>C41</v>
      </c>
      <c r="E22" s="375" t="str">
        <f>'driving mode parameters'!E22</f>
        <v>D41</v>
      </c>
      <c r="F22" s="375" t="str">
        <f>'driving mode parameters'!F22</f>
        <v>E41</v>
      </c>
      <c r="G22" s="375" t="str">
        <f>'driving mode parameters'!G22</f>
        <v>F41</v>
      </c>
      <c r="H22" s="375" t="str">
        <f>'driving mode parameters'!H22</f>
        <v>G41</v>
      </c>
      <c r="I22" s="375" t="str">
        <f>'driving mode parameters'!I22</f>
        <v>H41</v>
      </c>
      <c r="J22" s="375" t="str">
        <f>'driving mode parameters'!J22</f>
        <v>I41</v>
      </c>
      <c r="K22" s="375" t="str">
        <f>'driving mode parameters'!K22</f>
        <v>F42</v>
      </c>
      <c r="L22" s="375" t="str">
        <f>'driving mode parameters'!L22</f>
        <v>G42</v>
      </c>
      <c r="M22" s="375" t="str">
        <f>'driving mode parameters'!M22</f>
        <v>H42</v>
      </c>
      <c r="N22" s="393">
        <f>'driving mode parameters'!N22</f>
        <v>0</v>
      </c>
      <c r="O22" s="393">
        <f>'driving mode parameters'!O22</f>
        <v>0</v>
      </c>
      <c r="P22" s="226"/>
      <c r="Q22" s="226"/>
      <c r="R22" s="226"/>
      <c r="S22" s="226"/>
      <c r="T22" s="226"/>
      <c r="U22" s="226"/>
      <c r="V22" s="226"/>
      <c r="W22" s="226"/>
      <c r="X22" s="226"/>
      <c r="Y22" s="226"/>
      <c r="Z22" s="226"/>
      <c r="AA22" s="226"/>
      <c r="AB22" s="226"/>
      <c r="AC22" s="226"/>
    </row>
    <row r="23" spans="1:29" s="254" customFormat="1" ht="16.5" customHeight="1">
      <c r="A23" s="252" t="s">
        <v>148</v>
      </c>
      <c r="B23" s="267">
        <f>'driving mode parameters'!B23</f>
        <v>236.05550063881887</v>
      </c>
      <c r="C23" s="267">
        <f>'driving mode parameters'!C23</f>
        <v>140.72795497756996</v>
      </c>
      <c r="D23" s="267">
        <f>'driving mode parameters'!D23</f>
        <v>103.83298550779506</v>
      </c>
      <c r="E23" s="267">
        <f>'driving mode parameters'!E23</f>
        <v>72.046276326874406</v>
      </c>
      <c r="F23" s="267">
        <f>'driving mode parameters'!F23</f>
        <v>58.106815131632864</v>
      </c>
      <c r="G23" s="267">
        <f>'driving mode parameters'!G23</f>
        <v>46.147993559020016</v>
      </c>
      <c r="H23" s="267">
        <f>'driving mode parameters'!H23</f>
        <v>35.181988744392484</v>
      </c>
      <c r="I23" s="267">
        <f>'driving mode parameters'!I23</f>
        <v>25.693611798499802</v>
      </c>
      <c r="J23" s="267">
        <f>'driving mode parameters'!J23</f>
        <v>18.011569081718608</v>
      </c>
      <c r="K23" s="267">
        <f>'driving mode parameters'!K23</f>
        <v>15.382664519673341</v>
      </c>
      <c r="L23" s="267">
        <f>'driving mode parameters'!L23</f>
        <v>11.727329581464163</v>
      </c>
      <c r="M23" s="267">
        <f>'driving mode parameters'!M23</f>
        <v>8.5645372661665995</v>
      </c>
      <c r="N23" s="403">
        <f>'driving mode parameters'!N23</f>
        <v>0</v>
      </c>
      <c r="O23" s="403">
        <f>'driving mode parameters'!O23</f>
        <v>0</v>
      </c>
      <c r="P23" s="226"/>
      <c r="Q23" s="226"/>
      <c r="R23" s="226"/>
      <c r="S23" s="226"/>
      <c r="T23" s="226"/>
      <c r="U23" s="226"/>
      <c r="V23" s="226"/>
      <c r="W23" s="226"/>
      <c r="X23" s="226"/>
      <c r="Y23" s="226"/>
      <c r="Z23" s="226"/>
      <c r="AA23" s="226"/>
      <c r="AB23" s="226"/>
      <c r="AC23" s="226"/>
    </row>
    <row r="24" spans="1:29" ht="16.5" customHeight="1">
      <c r="A24" s="247" t="s">
        <v>149</v>
      </c>
      <c r="B24" s="261">
        <f>'driving mode parameters'!B24</f>
        <v>187.99062348578832</v>
      </c>
      <c r="C24" s="261">
        <f>'driving mode parameters'!C24</f>
        <v>113.72272284942751</v>
      </c>
      <c r="D24" s="261">
        <f>'driving mode parameters'!D24</f>
        <v>83.551388215905931</v>
      </c>
      <c r="E24" s="261">
        <f>'driving mode parameters'!E24</f>
        <v>58.02179737215689</v>
      </c>
      <c r="F24" s="261">
        <f>'driving mode parameters'!F24</f>
        <v>46.997655871447073</v>
      </c>
      <c r="G24" s="261">
        <f>'driving mode parameters'!G24</f>
        <v>37.133950318180396</v>
      </c>
      <c r="H24" s="261">
        <f>'driving mode parameters'!H24</f>
        <v>28.430680712356871</v>
      </c>
      <c r="I24" s="261">
        <f>'driving mode parameters'!I24</f>
        <v>20.887847053976483</v>
      </c>
      <c r="J24" s="261">
        <f>'driving mode parameters'!J24</f>
        <v>14.505449343039221</v>
      </c>
      <c r="K24" s="261">
        <f>'driving mode parameters'!K24</f>
        <v>12.37798343939347</v>
      </c>
      <c r="L24" s="261">
        <f>'driving mode parameters'!L24</f>
        <v>9.4768935707856237</v>
      </c>
      <c r="M24" s="261">
        <f>'driving mode parameters'!M24</f>
        <v>6.9626156846588252</v>
      </c>
      <c r="N24" s="398">
        <f>'driving mode parameters'!N24</f>
        <v>0</v>
      </c>
      <c r="O24" s="398">
        <f>'driving mode parameters'!O24</f>
        <v>0</v>
      </c>
    </row>
    <row r="25" spans="1:29" ht="16.5" customHeight="1">
      <c r="A25" s="247" t="s">
        <v>150</v>
      </c>
      <c r="B25" s="261">
        <f>'driving mode parameters'!B25</f>
        <v>518.7889426472301</v>
      </c>
      <c r="C25" s="261">
        <f>'driving mode parameters'!C25</f>
        <v>406.05179634010824</v>
      </c>
      <c r="D25" s="261">
        <f>'driving mode parameters'!D25</f>
        <v>342.85880427000188</v>
      </c>
      <c r="E25" s="261">
        <f>'driving mode parameters'!E25</f>
        <v>278.51907136934926</v>
      </c>
      <c r="F25" s="261">
        <f>'driving mode parameters'!F25</f>
        <v>246.93158530072978</v>
      </c>
      <c r="G25" s="261">
        <f>'driving mode parameters'!G25</f>
        <v>215.16473429221131</v>
      </c>
      <c r="H25" s="261">
        <f>'driving mode parameters'!H25</f>
        <v>182.13631504942001</v>
      </c>
      <c r="I25" s="261">
        <f>'driving mode parameters'!I25</f>
        <v>149.6688925636756</v>
      </c>
      <c r="J25" s="261">
        <f>'driving mode parameters'!J25</f>
        <v>118.89030818670278</v>
      </c>
      <c r="K25" s="261">
        <f>'driving mode parameters'!K25</f>
        <v>107.32545175426594</v>
      </c>
      <c r="L25" s="261">
        <f>'driving mode parameters'!L25</f>
        <v>89.796880141412814</v>
      </c>
      <c r="M25" s="261">
        <f>'driving mode parameters'!M25</f>
        <v>72.373090704416441</v>
      </c>
      <c r="N25" s="398">
        <f>'driving mode parameters'!N25</f>
        <v>0</v>
      </c>
      <c r="O25" s="398">
        <f>'driving mode parameters'!O25</f>
        <v>0</v>
      </c>
    </row>
    <row r="26" spans="1:29" ht="16.5" customHeight="1">
      <c r="A26" s="247" t="s">
        <v>151</v>
      </c>
      <c r="B26" s="268">
        <f>'driving mode parameters'!B26</f>
        <v>2.64538611508388</v>
      </c>
      <c r="C26" s="268">
        <f>'driving mode parameters'!C26</f>
        <v>1.6002953041865442</v>
      </c>
      <c r="D26" s="268">
        <f>'driving mode parameters'!D26</f>
        <v>1.175727162259502</v>
      </c>
      <c r="E26" s="268">
        <f>'driving mode parameters'!E26</f>
        <v>0.81647719601354307</v>
      </c>
      <c r="F26" s="268">
        <f>'driving mode parameters'!F26</f>
        <v>0.66134652877097011</v>
      </c>
      <c r="G26" s="268">
        <f>'driving mode parameters'!G26</f>
        <v>0.52254540544866745</v>
      </c>
      <c r="H26" s="268">
        <f>'driving mode parameters'!H26</f>
        <v>0.40007382604663594</v>
      </c>
      <c r="I26" s="268">
        <f>'driving mode parameters'!I26</f>
        <v>0.29393179056487556</v>
      </c>
      <c r="J26" s="268">
        <f>'driving mode parameters'!J26</f>
        <v>0.20411929900338574</v>
      </c>
      <c r="K26" s="268">
        <f>'driving mode parameters'!K26</f>
        <v>0.17418180181622256</v>
      </c>
      <c r="L26" s="268">
        <f>'driving mode parameters'!L26</f>
        <v>0.13335794201554538</v>
      </c>
      <c r="M26" s="268">
        <f>'driving mode parameters'!M26</f>
        <v>9.7977263521625169E-2</v>
      </c>
      <c r="N26" s="404">
        <f>'driving mode parameters'!N26</f>
        <v>0</v>
      </c>
      <c r="O26" s="404">
        <f>'driving mode parameters'!O26</f>
        <v>0</v>
      </c>
    </row>
    <row r="27" spans="1:29" ht="16.5" customHeight="1">
      <c r="A27" s="247" t="s">
        <v>152</v>
      </c>
      <c r="B27" s="268">
        <f>'driving mode parameters'!B27</f>
        <v>2.3710549137313892</v>
      </c>
      <c r="C27" s="268">
        <f>'driving mode parameters'!C27</f>
        <v>1.480264170212094</v>
      </c>
      <c r="D27" s="268">
        <f>'driving mode parameters'!D27</f>
        <v>1.0868623100466543</v>
      </c>
      <c r="E27" s="268">
        <f>'driving mode parameters'!E27</f>
        <v>0.7525393531151322</v>
      </c>
      <c r="F27" s="268">
        <f>'driving mode parameters'!F27</f>
        <v>0.60742837767666213</v>
      </c>
      <c r="G27" s="268">
        <f>'driving mode parameters'!G27</f>
        <v>0.47831092455173962</v>
      </c>
      <c r="H27" s="268">
        <f>'driving mode parameters'!H27</f>
        <v>0.36797283031576761</v>
      </c>
      <c r="I27" s="268">
        <f>'driving mode parameters'!I27</f>
        <v>0.27171655872009992</v>
      </c>
      <c r="J27" s="268">
        <f>'driving mode parameters'!J27</f>
        <v>0.1875125485677791</v>
      </c>
      <c r="K27" s="268">
        <f>'driving mode parameters'!K27</f>
        <v>0.16046034746275609</v>
      </c>
      <c r="L27" s="268">
        <f>'driving mode parameters'!L27</f>
        <v>0.12344407417575487</v>
      </c>
      <c r="M27" s="268">
        <f>'driving mode parameters'!M27</f>
        <v>9.1815098125069008E-2</v>
      </c>
      <c r="N27" s="404">
        <f>'driving mode parameters'!N27</f>
        <v>0</v>
      </c>
      <c r="O27" s="404">
        <f>'driving mode parameters'!O27</f>
        <v>0</v>
      </c>
    </row>
    <row r="28" spans="1:29" ht="16.5" customHeight="1">
      <c r="A28" s="247" t="s">
        <v>153</v>
      </c>
      <c r="B28" s="268">
        <f>'driving mode parameters'!B28</f>
        <v>89.840415932995398</v>
      </c>
      <c r="C28" s="268">
        <f>'driving mode parameters'!C28</f>
        <v>53.097232571420491</v>
      </c>
      <c r="D28" s="268">
        <f>'driving mode parameters'!D28</f>
        <v>39.098762930316781</v>
      </c>
      <c r="E28" s="268">
        <f>'driving mode parameters'!E28</f>
        <v>27.026582368054392</v>
      </c>
      <c r="F28" s="268">
        <f>'driving mode parameters'!F28</f>
        <v>22.149052012853019</v>
      </c>
      <c r="G28" s="268">
        <f>'driving mode parameters'!G28</f>
        <v>17.724785001154462</v>
      </c>
      <c r="H28" s="268">
        <f>'driving mode parameters'!H28</f>
        <v>13.21417200720912</v>
      </c>
      <c r="I28" s="268">
        <f>'driving mode parameters'!I28</f>
        <v>9.4503213425344317</v>
      </c>
      <c r="J28" s="268">
        <f>'driving mode parameters'!J28</f>
        <v>6.7367577703402608</v>
      </c>
      <c r="K28" s="268">
        <f>'driving mode parameters'!K28</f>
        <v>5.8063637439691824</v>
      </c>
      <c r="L28" s="268">
        <f>'driving mode parameters'!L28</f>
        <v>4.4602251011051051</v>
      </c>
      <c r="M28" s="268">
        <f>'driving mode parameters'!M28</f>
        <v>3.195701957330598</v>
      </c>
      <c r="N28" s="404">
        <f>'driving mode parameters'!N28</f>
        <v>0</v>
      </c>
      <c r="O28" s="404">
        <f>'driving mode parameters'!O28</f>
        <v>0</v>
      </c>
    </row>
    <row r="29" spans="1:29" ht="16.5" customHeight="1">
      <c r="A29" s="247" t="s">
        <v>154</v>
      </c>
      <c r="B29" s="268">
        <f>'driving mode parameters'!B29</f>
        <v>0.39179685200214381</v>
      </c>
      <c r="C29" s="268">
        <f>'driving mode parameters'!C29</f>
        <v>0.388675639352004</v>
      </c>
      <c r="D29" s="268">
        <f>'driving mode parameters'!D29</f>
        <v>0.3878776084075205</v>
      </c>
      <c r="E29" s="268">
        <f>'driving mode parameters'!E29</f>
        <v>0.38646077193141526</v>
      </c>
      <c r="F29" s="268">
        <f>'driving mode parameters'!F29</f>
        <v>0.39255977960502952</v>
      </c>
      <c r="G29" s="268">
        <f>'driving mode parameters'!G29</f>
        <v>0.39540896579319501</v>
      </c>
      <c r="H29" s="268">
        <f>'driving mode parameters'!H29</f>
        <v>0.38696635179344935</v>
      </c>
      <c r="I29" s="268">
        <f>'driving mode parameters'!I29</f>
        <v>0.37924808740467753</v>
      </c>
      <c r="J29" s="268">
        <f>'driving mode parameters'!J29</f>
        <v>0.38535660262872384</v>
      </c>
      <c r="K29" s="268">
        <f>'driving mode parameters'!K29</f>
        <v>0.38878476080244156</v>
      </c>
      <c r="L29" s="268">
        <f>'driving mode parameters'!L29</f>
        <v>0.39169898067682163</v>
      </c>
      <c r="M29" s="268">
        <f>'driving mode parameters'!M29</f>
        <v>0.38457176593341397</v>
      </c>
      <c r="N29" s="404">
        <f>'driving mode parameters'!N29</f>
        <v>0</v>
      </c>
      <c r="O29" s="404">
        <f>'driving mode parameters'!O29</f>
        <v>0</v>
      </c>
    </row>
    <row r="30" spans="1:29" ht="16.5" customHeight="1">
      <c r="A30" s="247" t="s">
        <v>155</v>
      </c>
      <c r="B30" s="268">
        <f>'driving mode parameters'!B30</f>
        <v>0.4905110113308272</v>
      </c>
      <c r="C30" s="268">
        <f>'driving mode parameters'!C30</f>
        <v>0.47991725289496384</v>
      </c>
      <c r="D30" s="268">
        <f>'driving mode parameters'!D30</f>
        <v>0.48096897129368316</v>
      </c>
      <c r="E30" s="268">
        <f>'driving mode parameters'!E30</f>
        <v>0.47877044454503548</v>
      </c>
      <c r="F30" s="268">
        <f>'driving mode parameters'!F30</f>
        <v>0.48420458358126622</v>
      </c>
      <c r="G30" s="268">
        <f>'driving mode parameters'!G30</f>
        <v>0.49020090159365981</v>
      </c>
      <c r="H30" s="268">
        <f>'driving mode parameters'!H30</f>
        <v>0.47772844325959662</v>
      </c>
      <c r="I30" s="268">
        <f>'driving mode parameters'!I30</f>
        <v>0.46543992189006944</v>
      </c>
      <c r="J30" s="268">
        <f>'driving mode parameters'!J30</f>
        <v>0.4773564854942472</v>
      </c>
      <c r="K30" s="268">
        <f>'driving mode parameters'!K30</f>
        <v>0.48205138750163951</v>
      </c>
      <c r="L30" s="268">
        <f>'driving mode parameters'!L30</f>
        <v>0.48366789613538719</v>
      </c>
      <c r="M30" s="268">
        <f>'driving mode parameters'!M30</f>
        <v>0.47216695626318461</v>
      </c>
      <c r="N30" s="404">
        <f>'driving mode parameters'!N30</f>
        <v>0</v>
      </c>
      <c r="O30" s="404">
        <f>'driving mode parameters'!O30</f>
        <v>0</v>
      </c>
    </row>
    <row r="31" spans="1:29" ht="16.5" customHeight="1">
      <c r="A31" s="247" t="s">
        <v>156</v>
      </c>
      <c r="B31" s="269">
        <f>'driving mode parameters'!B31</f>
        <v>138.43870110265081</v>
      </c>
      <c r="C31" s="269">
        <f>'driving mode parameters'!C31</f>
        <v>107.67454530206172</v>
      </c>
      <c r="D31" s="269">
        <f>'driving mode parameters'!D31</f>
        <v>92.292467401767198</v>
      </c>
      <c r="E31" s="269">
        <f>'driving mode parameters'!E31</f>
        <v>76.910389501472665</v>
      </c>
      <c r="F31" s="269">
        <f>'driving mode parameters'!F31</f>
        <v>69.219350551325405</v>
      </c>
      <c r="G31" s="269">
        <f>'driving mode parameters'!G31</f>
        <v>61.528311601178132</v>
      </c>
      <c r="H31" s="269">
        <f>'driving mode parameters'!H31</f>
        <v>53.837272651030865</v>
      </c>
      <c r="I31" s="269">
        <f>'driving mode parameters'!I31</f>
        <v>46.146233700883599</v>
      </c>
      <c r="J31" s="269">
        <f>'driving mode parameters'!J31</f>
        <v>38.455194750736332</v>
      </c>
      <c r="K31" s="269">
        <f>'driving mode parameters'!K31</f>
        <v>35.523387265723365</v>
      </c>
      <c r="L31" s="269">
        <f>'driving mode parameters'!L31</f>
        <v>31.082963857507945</v>
      </c>
      <c r="M31" s="269">
        <f>'driving mode parameters'!M31</f>
        <v>26.642540449292529</v>
      </c>
      <c r="N31" s="405">
        <f>'driving mode parameters'!N31</f>
        <v>0</v>
      </c>
      <c r="O31" s="405">
        <f>'driving mode parameters'!O31</f>
        <v>0</v>
      </c>
    </row>
    <row r="32" spans="1:29" s="271" customFormat="1" ht="16.5" customHeight="1">
      <c r="A32" s="270" t="s">
        <v>157</v>
      </c>
      <c r="B32" s="61">
        <f>'driving mode parameters'!B32</f>
        <v>20.3</v>
      </c>
      <c r="C32" s="61">
        <f>'driving mode parameters'!C32</f>
        <v>26.6</v>
      </c>
      <c r="D32" s="61">
        <f>'driving mode parameters'!D32</f>
        <v>31.2</v>
      </c>
      <c r="E32" s="61">
        <f>'driving mode parameters'!E32</f>
        <v>37.5</v>
      </c>
      <c r="F32" s="61">
        <f>'driving mode parameters'!F32</f>
        <v>41</v>
      </c>
      <c r="G32" s="61">
        <f>'driving mode parameters'!G32</f>
        <v>45.5</v>
      </c>
      <c r="H32" s="61">
        <f>'driving mode parameters'!H32</f>
        <v>53.7</v>
      </c>
      <c r="I32" s="61">
        <f>'driving mode parameters'!I32</f>
        <v>64.599999999999994</v>
      </c>
      <c r="J32" s="61">
        <f>'driving mode parameters'!J32</f>
        <v>75.2</v>
      </c>
      <c r="K32" s="61">
        <f>'driving mode parameters'!K32</f>
        <v>80.400000000000006</v>
      </c>
      <c r="L32" s="61">
        <f>'driving mode parameters'!L32</f>
        <v>91.5</v>
      </c>
      <c r="M32" s="61">
        <f>'driving mode parameters'!M32</f>
        <v>110</v>
      </c>
      <c r="N32" s="406">
        <f>'driving mode parameters'!N32</f>
        <v>0</v>
      </c>
      <c r="O32" s="406">
        <f>'driving mode parameters'!O32</f>
        <v>0</v>
      </c>
      <c r="P32" s="258"/>
      <c r="Q32" s="258"/>
      <c r="R32" s="258"/>
      <c r="S32" s="258"/>
      <c r="T32" s="258"/>
      <c r="U32" s="258"/>
      <c r="V32" s="258"/>
      <c r="W32" s="258"/>
      <c r="X32" s="258"/>
      <c r="Y32" s="258"/>
      <c r="Z32" s="258"/>
      <c r="AA32" s="258"/>
      <c r="AB32" s="258"/>
      <c r="AC32" s="258"/>
    </row>
    <row r="33" spans="1:15" ht="16.5" customHeight="1">
      <c r="A33" s="270" t="s">
        <v>184</v>
      </c>
      <c r="B33" s="61">
        <f>RESUM!B33</f>
        <v>0</v>
      </c>
      <c r="C33" s="61">
        <f>RESUM!C33</f>
        <v>0</v>
      </c>
      <c r="D33" s="61">
        <f>RESUM!D33</f>
        <v>0</v>
      </c>
      <c r="E33" s="61">
        <f>RESUM!E33</f>
        <v>0</v>
      </c>
      <c r="F33" s="61">
        <f>RESUM!F33</f>
        <v>0</v>
      </c>
      <c r="G33" s="61">
        <f>RESUM!G33</f>
        <v>0</v>
      </c>
      <c r="H33" s="61">
        <f>RESUM!H33</f>
        <v>0</v>
      </c>
      <c r="I33" s="62">
        <f>RESUM!I33</f>
        <v>0</v>
      </c>
      <c r="J33" s="61">
        <f>RESUM!J33</f>
        <v>0</v>
      </c>
      <c r="K33" s="61">
        <f>RESUM!K33</f>
        <v>0</v>
      </c>
      <c r="L33" s="61">
        <f>RESUM!M33</f>
        <v>0</v>
      </c>
      <c r="M33" s="61">
        <f>RESUM!N33</f>
        <v>0</v>
      </c>
      <c r="N33" s="406">
        <f>RESUM!O33</f>
        <v>0</v>
      </c>
      <c r="O33" s="406">
        <f>RESUM!P33</f>
        <v>0</v>
      </c>
    </row>
    <row r="34" spans="1:15" ht="16.5" customHeight="1">
      <c r="B34" s="230"/>
      <c r="C34" s="230"/>
      <c r="D34" s="230"/>
      <c r="E34" s="230"/>
      <c r="F34" s="230"/>
      <c r="G34" s="230"/>
      <c r="H34" s="230"/>
      <c r="I34" s="274"/>
      <c r="J34" s="273"/>
      <c r="K34" s="273"/>
      <c r="L34" s="273"/>
      <c r="M34" s="273"/>
    </row>
    <row r="35" spans="1:15" ht="16.5" customHeight="1">
      <c r="B35" s="272"/>
      <c r="C35" s="272"/>
      <c r="D35" s="272"/>
      <c r="E35" s="272"/>
      <c r="F35" s="272"/>
      <c r="G35" s="272"/>
      <c r="H35" s="272"/>
      <c r="I35" s="272"/>
    </row>
    <row r="36" spans="1:15" ht="16.5" customHeight="1">
      <c r="B36" s="230"/>
      <c r="C36" s="230"/>
      <c r="D36" s="230"/>
      <c r="E36" s="230"/>
      <c r="F36" s="230"/>
      <c r="G36" s="230"/>
      <c r="H36" s="230"/>
      <c r="I36" s="230"/>
    </row>
    <row r="37" spans="1:15" ht="16.5" customHeight="1">
      <c r="B37" s="230"/>
      <c r="C37" s="230"/>
      <c r="D37" s="230"/>
      <c r="E37" s="230"/>
      <c r="F37" s="230"/>
      <c r="G37" s="230"/>
      <c r="H37" s="230"/>
      <c r="I37" s="230"/>
    </row>
    <row r="38" spans="1:15" ht="16.5" customHeight="1">
      <c r="B38" s="230"/>
      <c r="C38" s="230"/>
      <c r="D38" s="230"/>
      <c r="E38" s="230"/>
      <c r="F38" s="230"/>
      <c r="G38" s="230"/>
      <c r="H38" s="230"/>
      <c r="I38" s="230"/>
    </row>
    <row r="39" spans="1:15" ht="16.5" customHeight="1">
      <c r="B39" s="230"/>
      <c r="C39" s="230"/>
      <c r="D39" s="230"/>
      <c r="E39" s="230"/>
      <c r="F39" s="230"/>
      <c r="G39" s="230"/>
      <c r="H39" s="230"/>
      <c r="I39" s="230"/>
    </row>
    <row r="40" spans="1:15" ht="16.5" customHeight="1">
      <c r="B40" s="230"/>
      <c r="C40" s="230"/>
      <c r="D40" s="230"/>
      <c r="E40" s="230"/>
      <c r="F40" s="230"/>
      <c r="G40" s="230"/>
      <c r="H40" s="230"/>
      <c r="I40" s="230"/>
    </row>
    <row r="41" spans="1:15" ht="16.5" customHeight="1">
      <c r="B41" s="230"/>
      <c r="C41" s="230"/>
      <c r="D41" s="230"/>
      <c r="E41" s="230"/>
      <c r="F41" s="230"/>
      <c r="G41" s="230"/>
      <c r="H41" s="230"/>
      <c r="I41" s="230"/>
    </row>
    <row r="42" spans="1:15" ht="16.5" customHeight="1">
      <c r="B42" s="230"/>
      <c r="C42" s="230"/>
      <c r="D42" s="230"/>
      <c r="E42" s="230"/>
      <c r="F42" s="230"/>
      <c r="G42" s="230"/>
      <c r="H42" s="230"/>
      <c r="I42" s="230"/>
    </row>
    <row r="43" spans="1:15" ht="16.5" customHeight="1">
      <c r="B43" s="230"/>
      <c r="C43" s="230"/>
      <c r="D43" s="230"/>
      <c r="E43" s="230"/>
      <c r="F43" s="230"/>
      <c r="G43" s="230"/>
      <c r="H43" s="230"/>
      <c r="I43" s="230"/>
    </row>
    <row r="44" spans="1:15" ht="16.5" customHeight="1">
      <c r="B44" s="230"/>
      <c r="C44" s="230"/>
      <c r="D44" s="230"/>
      <c r="E44" s="230"/>
      <c r="F44" s="230"/>
      <c r="G44" s="230"/>
      <c r="H44" s="230"/>
      <c r="I44" s="230"/>
    </row>
    <row r="45" spans="1:15" ht="16.5" customHeight="1">
      <c r="B45" s="230"/>
      <c r="C45" s="230"/>
      <c r="D45" s="230"/>
      <c r="E45" s="230"/>
      <c r="F45" s="230"/>
      <c r="G45" s="230"/>
      <c r="H45" s="230"/>
      <c r="I45" s="230"/>
    </row>
    <row r="46" spans="1:15" ht="16.5" customHeight="1">
      <c r="B46" s="230"/>
      <c r="C46" s="230"/>
      <c r="D46" s="230"/>
      <c r="E46" s="230"/>
      <c r="F46" s="230"/>
      <c r="G46" s="230"/>
      <c r="H46" s="230"/>
      <c r="I46" s="230"/>
    </row>
    <row r="47" spans="1:15" ht="16.5" customHeight="1">
      <c r="B47" s="230"/>
      <c r="C47" s="230"/>
      <c r="D47" s="230"/>
      <c r="E47" s="230"/>
      <c r="F47" s="230"/>
      <c r="G47" s="230"/>
      <c r="H47" s="230"/>
      <c r="I47" s="230"/>
    </row>
    <row r="48" spans="1:15" ht="16.5" customHeight="1">
      <c r="B48" s="230"/>
      <c r="C48" s="230"/>
      <c r="D48" s="230"/>
      <c r="E48" s="230"/>
      <c r="F48" s="230"/>
      <c r="G48" s="230"/>
      <c r="H48" s="230"/>
      <c r="I48" s="230"/>
    </row>
    <row r="49" spans="1:12" ht="16.5" customHeight="1">
      <c r="B49" s="230"/>
      <c r="C49" s="230"/>
      <c r="D49" s="230"/>
      <c r="E49" s="230"/>
      <c r="F49" s="230"/>
      <c r="G49" s="230"/>
      <c r="H49" s="230"/>
      <c r="I49" s="230"/>
    </row>
    <row r="50" spans="1:12" ht="16.5" customHeight="1">
      <c r="B50" s="230"/>
      <c r="C50" s="230"/>
      <c r="D50" s="230"/>
      <c r="E50" s="230"/>
      <c r="F50" s="230"/>
      <c r="G50" s="230"/>
      <c r="H50" s="230"/>
      <c r="I50" s="230"/>
    </row>
    <row r="51" spans="1:12" ht="15" customHeight="1">
      <c r="B51" s="230"/>
      <c r="C51" s="230"/>
      <c r="D51" s="230"/>
      <c r="E51" s="230"/>
      <c r="F51" s="230"/>
      <c r="G51" s="230"/>
      <c r="H51" s="230"/>
      <c r="I51" s="230"/>
    </row>
    <row r="52" spans="1:12" ht="15" customHeight="1">
      <c r="B52" s="230"/>
      <c r="C52" s="230"/>
      <c r="D52" s="230"/>
      <c r="E52" s="230"/>
      <c r="F52" s="230"/>
      <c r="G52" s="230"/>
      <c r="H52" s="230"/>
      <c r="I52" s="230"/>
    </row>
    <row r="53" spans="1:12" s="276" customFormat="1" ht="15" customHeight="1">
      <c r="B53" s="275"/>
      <c r="C53" s="275"/>
      <c r="D53" s="275"/>
      <c r="E53" s="275"/>
      <c r="F53" s="275"/>
      <c r="G53" s="275"/>
      <c r="H53" s="275"/>
      <c r="I53" s="275"/>
    </row>
    <row r="54" spans="1:12" s="276" customFormat="1" ht="15" customHeight="1">
      <c r="B54" s="275"/>
      <c r="C54" s="275"/>
      <c r="D54" s="275"/>
      <c r="E54" s="275"/>
      <c r="F54" s="275"/>
      <c r="G54" s="275"/>
      <c r="H54" s="275"/>
      <c r="I54" s="275"/>
    </row>
    <row r="55" spans="1:12" s="276" customFormat="1" ht="15" customHeight="1">
      <c r="B55" s="275"/>
      <c r="C55" s="275"/>
      <c r="D55" s="275"/>
      <c r="E55" s="275"/>
      <c r="F55" s="275"/>
      <c r="G55" s="275"/>
      <c r="H55" s="275"/>
      <c r="I55" s="275"/>
    </row>
    <row r="56" spans="1:12" s="276" customFormat="1" ht="15" customHeight="1">
      <c r="B56" s="275"/>
      <c r="C56" s="275"/>
      <c r="D56" s="275"/>
      <c r="E56" s="275"/>
      <c r="F56" s="275"/>
      <c r="G56" s="275"/>
      <c r="H56" s="275"/>
      <c r="I56" s="275"/>
    </row>
    <row r="57" spans="1:12" s="276" customFormat="1" ht="15" customHeight="1">
      <c r="B57" s="275"/>
      <c r="C57" s="275"/>
      <c r="D57" s="275"/>
      <c r="E57" s="275"/>
      <c r="F57" s="275"/>
      <c r="G57" s="275"/>
      <c r="H57" s="275"/>
      <c r="I57" s="275"/>
    </row>
    <row r="58" spans="1:12" s="276" customFormat="1" ht="15" customHeight="1">
      <c r="B58" s="275"/>
      <c r="C58" s="275"/>
      <c r="D58" s="275"/>
      <c r="E58" s="275"/>
      <c r="F58" s="275"/>
      <c r="G58" s="275"/>
      <c r="H58" s="275"/>
      <c r="I58" s="275"/>
    </row>
    <row r="59" spans="1:12" s="276" customFormat="1" ht="15" customHeight="1">
      <c r="B59" s="275"/>
      <c r="C59" s="275"/>
      <c r="D59" s="275"/>
      <c r="E59" s="275"/>
      <c r="F59" s="275"/>
      <c r="G59" s="275"/>
      <c r="H59" s="275"/>
      <c r="I59" s="275"/>
    </row>
    <row r="60" spans="1:12" s="276" customFormat="1" ht="15" customHeight="1">
      <c r="B60" s="275"/>
      <c r="C60" s="275"/>
      <c r="D60" s="275"/>
      <c r="E60" s="275"/>
      <c r="F60" s="275"/>
      <c r="G60" s="275"/>
      <c r="H60" s="275"/>
      <c r="I60" s="275"/>
    </row>
    <row r="61" spans="1:12" s="284" customFormat="1" ht="15" customHeight="1">
      <c r="A61" s="284" t="s">
        <v>158</v>
      </c>
      <c r="B61" s="285">
        <f>B16*20-B12</f>
        <v>-237</v>
      </c>
      <c r="C61" s="285">
        <f t="shared" ref="C61:L61" si="6">C16*20-C12</f>
        <v>-287</v>
      </c>
      <c r="D61" s="285">
        <f t="shared" si="6"/>
        <v>-326</v>
      </c>
      <c r="E61" s="285">
        <f t="shared" si="6"/>
        <v>-387</v>
      </c>
      <c r="F61" s="285">
        <f t="shared" si="6"/>
        <v>-427</v>
      </c>
      <c r="G61" s="285">
        <f t="shared" si="6"/>
        <v>-477</v>
      </c>
      <c r="H61" s="285">
        <f t="shared" si="6"/>
        <v>-537</v>
      </c>
      <c r="I61" s="285">
        <f t="shared" si="6"/>
        <v>-616</v>
      </c>
      <c r="J61" s="284">
        <f t="shared" si="6"/>
        <v>-737</v>
      </c>
      <c r="K61" s="284">
        <f t="shared" si="6"/>
        <v>-796</v>
      </c>
      <c r="L61" s="284">
        <f t="shared" si="6"/>
        <v>-905</v>
      </c>
    </row>
    <row r="62" spans="1:12" s="286" customFormat="1" ht="15" customHeight="1">
      <c r="A62" s="286" t="s">
        <v>159</v>
      </c>
      <c r="B62" s="287"/>
      <c r="C62" s="287"/>
      <c r="D62" s="287"/>
      <c r="E62" s="287"/>
      <c r="F62" s="287"/>
      <c r="G62" s="287"/>
      <c r="H62" s="287"/>
      <c r="I62" s="287"/>
    </row>
    <row r="63" spans="1:12" s="284" customFormat="1" ht="15" customHeight="1">
      <c r="A63" s="284" t="s">
        <v>160</v>
      </c>
      <c r="B63" s="285">
        <f>2*PI()*B16*B28/1000*B32</f>
        <v>240.63952126276271</v>
      </c>
      <c r="C63" s="285">
        <f t="shared" ref="C63:L63" si="7">2*PI()*C16*C28/1000*C32</f>
        <v>230.73142016827762</v>
      </c>
      <c r="D63" s="285">
        <f t="shared" si="7"/>
        <v>229.94222731521373</v>
      </c>
      <c r="E63" s="285">
        <f t="shared" si="7"/>
        <v>229.24758407162162</v>
      </c>
      <c r="F63" s="285">
        <f t="shared" si="7"/>
        <v>228.23322100718784</v>
      </c>
      <c r="G63" s="285">
        <f t="shared" si="7"/>
        <v>228.02620254721975</v>
      </c>
      <c r="H63" s="285">
        <f t="shared" si="7"/>
        <v>227.38629522331502</v>
      </c>
      <c r="I63" s="285">
        <f t="shared" si="7"/>
        <v>226.31376735901034</v>
      </c>
      <c r="J63" s="284">
        <f t="shared" si="7"/>
        <v>225.99924569501084</v>
      </c>
      <c r="K63" s="284">
        <f t="shared" si="7"/>
        <v>225.85560943218294</v>
      </c>
      <c r="L63" s="284">
        <f t="shared" si="7"/>
        <v>225.65263645856024</v>
      </c>
    </row>
    <row r="64" spans="1:12" s="284" customFormat="1" ht="15" customHeight="1">
      <c r="A64" s="284" t="s">
        <v>161</v>
      </c>
      <c r="B64" s="285">
        <f>B23/1000*(B15^2-B32^2)^0.5</f>
        <v>12.572941765885396</v>
      </c>
      <c r="C64" s="285">
        <f t="shared" ref="C64:L64" si="8">C23/1000*(C15^2-C32^2)^0.5</f>
        <v>9.8985686700052575</v>
      </c>
      <c r="D64" s="285">
        <f t="shared" si="8"/>
        <v>8.4437160019280419</v>
      </c>
      <c r="E64" s="285">
        <f t="shared" si="8"/>
        <v>7.0582409891535409</v>
      </c>
      <c r="F64" s="285">
        <f t="shared" si="8"/>
        <v>6.3301661480151212</v>
      </c>
      <c r="G64" s="285">
        <f t="shared" si="8"/>
        <v>5.6641017847098336</v>
      </c>
      <c r="H64" s="285">
        <f t="shared" si="8"/>
        <v>4.9049130830647423</v>
      </c>
      <c r="I64" s="285">
        <f t="shared" si="8"/>
        <v>4.1594561172309747</v>
      </c>
      <c r="J64" s="284">
        <f t="shared" si="8"/>
        <v>3.5103697917374448</v>
      </c>
      <c r="K64" s="284">
        <f t="shared" si="8"/>
        <v>3.1385284007556846</v>
      </c>
      <c r="L64" s="284">
        <f t="shared" si="8"/>
        <v>2.6387315064587749</v>
      </c>
    </row>
    <row r="65" spans="1:12" s="284" customFormat="1" ht="15" customHeight="1">
      <c r="A65" s="284" t="s">
        <v>162</v>
      </c>
      <c r="B65" s="285">
        <f t="shared" ref="B65:L65" si="9">B23/1000*B32</f>
        <v>4.7919266629680228</v>
      </c>
      <c r="C65" s="285">
        <f t="shared" si="9"/>
        <v>3.743363602403361</v>
      </c>
      <c r="D65" s="285">
        <f t="shared" si="9"/>
        <v>3.2395891478432057</v>
      </c>
      <c r="E65" s="285">
        <f t="shared" si="9"/>
        <v>2.7017353622577902</v>
      </c>
      <c r="F65" s="285">
        <f t="shared" si="9"/>
        <v>2.3823794203969473</v>
      </c>
      <c r="G65" s="285">
        <f t="shared" si="9"/>
        <v>2.0997337069354107</v>
      </c>
      <c r="H65" s="285">
        <f t="shared" si="9"/>
        <v>1.8892727955738764</v>
      </c>
      <c r="I65" s="285">
        <f t="shared" si="9"/>
        <v>1.6598073221830871</v>
      </c>
      <c r="J65" s="284">
        <f t="shared" si="9"/>
        <v>1.3544699949452395</v>
      </c>
      <c r="K65" s="284">
        <f t="shared" si="9"/>
        <v>1.2367662273817368</v>
      </c>
      <c r="L65" s="284">
        <f t="shared" si="9"/>
        <v>1.073050656703971</v>
      </c>
    </row>
    <row r="66" spans="1:12" s="284" customFormat="1" ht="15" customHeight="1">
      <c r="A66" s="284" t="s">
        <v>163</v>
      </c>
      <c r="B66" s="285">
        <f>2*PI()*B16*B26/1000*B32</f>
        <v>7.085724633818713</v>
      </c>
      <c r="C66" s="285">
        <f t="shared" ref="C66:L66" si="10">2*PI()*C16*C26/1000*C32</f>
        <v>6.9540047633730957</v>
      </c>
      <c r="D66" s="285">
        <f t="shared" si="10"/>
        <v>6.9145236867665565</v>
      </c>
      <c r="E66" s="285">
        <f t="shared" si="10"/>
        <v>6.9256046542132985</v>
      </c>
      <c r="F66" s="285">
        <f t="shared" si="10"/>
        <v>6.8147949797458898</v>
      </c>
      <c r="G66" s="285">
        <f t="shared" si="10"/>
        <v>6.7224535843563755</v>
      </c>
      <c r="H66" s="285">
        <f t="shared" si="10"/>
        <v>6.8843742211718801</v>
      </c>
      <c r="I66" s="285">
        <f t="shared" si="10"/>
        <v>7.0389998877516184</v>
      </c>
      <c r="J66" s="284">
        <f t="shared" si="10"/>
        <v>6.8476274758843783</v>
      </c>
      <c r="K66" s="284">
        <f t="shared" si="10"/>
        <v>6.7753139031393506</v>
      </c>
      <c r="L66" s="284">
        <f t="shared" si="10"/>
        <v>6.7468727533593791</v>
      </c>
    </row>
    <row r="67" spans="1:12" s="284" customFormat="1" ht="15" customHeight="1">
      <c r="A67" s="284" t="s">
        <v>164</v>
      </c>
      <c r="B67" s="285">
        <f t="shared" ref="B67:L67" si="11">2*PI()*B16*B26/1000*(B15^2-B32^2)^0.5</f>
        <v>18.591353636226717</v>
      </c>
      <c r="C67" s="285">
        <f t="shared" si="11"/>
        <v>18.388460484468606</v>
      </c>
      <c r="D67" s="285">
        <f t="shared" si="11"/>
        <v>18.022123064133385</v>
      </c>
      <c r="E67" s="285">
        <f t="shared" si="11"/>
        <v>18.09303284396832</v>
      </c>
      <c r="F67" s="285">
        <f t="shared" si="11"/>
        <v>18.107436673232815</v>
      </c>
      <c r="G67" s="285">
        <f t="shared" si="11"/>
        <v>18.134043006984612</v>
      </c>
      <c r="H67" s="285">
        <f t="shared" si="11"/>
        <v>17.873150592782775</v>
      </c>
      <c r="I67" s="285">
        <f t="shared" si="11"/>
        <v>17.639644524394392</v>
      </c>
      <c r="J67" s="284">
        <f t="shared" si="11"/>
        <v>17.746945097434722</v>
      </c>
      <c r="K67" s="284">
        <f t="shared" si="11"/>
        <v>17.193641480698563</v>
      </c>
      <c r="L67" s="284">
        <f t="shared" si="11"/>
        <v>16.591188489686679</v>
      </c>
    </row>
    <row r="68" spans="1:12" s="284" customFormat="1" ht="15" customHeight="1">
      <c r="A68" s="284" t="s">
        <v>165</v>
      </c>
      <c r="B68" s="285">
        <f>B63+B66-B64</f>
        <v>235.15230413069602</v>
      </c>
      <c r="C68" s="285">
        <f t="shared" ref="C68:L68" si="12">C63+C66-C64</f>
        <v>227.78685626164545</v>
      </c>
      <c r="D68" s="285">
        <f t="shared" si="12"/>
        <v>228.41303500005225</v>
      </c>
      <c r="E68" s="285">
        <f t="shared" si="12"/>
        <v>229.11494773668136</v>
      </c>
      <c r="F68" s="285">
        <f t="shared" si="12"/>
        <v>228.71784983891862</v>
      </c>
      <c r="G68" s="285">
        <f t="shared" si="12"/>
        <v>229.0845543468663</v>
      </c>
      <c r="H68" s="285">
        <f t="shared" si="12"/>
        <v>229.36575636142214</v>
      </c>
      <c r="I68" s="285">
        <f t="shared" si="12"/>
        <v>229.193311129531</v>
      </c>
      <c r="J68" s="284">
        <f t="shared" si="12"/>
        <v>229.33650337915776</v>
      </c>
      <c r="K68" s="284">
        <f t="shared" si="12"/>
        <v>229.49239493456662</v>
      </c>
      <c r="L68" s="284">
        <f t="shared" si="12"/>
        <v>229.76077770546084</v>
      </c>
    </row>
    <row r="69" spans="1:12" s="284" customFormat="1" ht="15" customHeight="1">
      <c r="A69" s="284" t="s">
        <v>166</v>
      </c>
      <c r="B69" s="285">
        <f>B65-B67</f>
        <v>-13.799426973258694</v>
      </c>
      <c r="C69" s="285">
        <f t="shared" ref="C69:L69" si="13">C65-C67</f>
        <v>-14.645096882065245</v>
      </c>
      <c r="D69" s="285">
        <f t="shared" si="13"/>
        <v>-14.782533916290181</v>
      </c>
      <c r="E69" s="285">
        <f t="shared" si="13"/>
        <v>-15.391297481710531</v>
      </c>
      <c r="F69" s="285">
        <f t="shared" si="13"/>
        <v>-15.725057252835867</v>
      </c>
      <c r="G69" s="285">
        <f t="shared" si="13"/>
        <v>-16.034309300049202</v>
      </c>
      <c r="H69" s="285">
        <f t="shared" si="13"/>
        <v>-15.983877797208898</v>
      </c>
      <c r="I69" s="285">
        <f t="shared" si="13"/>
        <v>-15.979837202211304</v>
      </c>
      <c r="J69" s="284">
        <f t="shared" si="13"/>
        <v>-16.392475102489481</v>
      </c>
      <c r="K69" s="284">
        <f t="shared" si="13"/>
        <v>-15.956875253316827</v>
      </c>
      <c r="L69" s="284">
        <f t="shared" si="13"/>
        <v>-15.518137832982708</v>
      </c>
    </row>
    <row r="70" spans="1:12" s="284" customFormat="1" ht="15" customHeight="1">
      <c r="A70" s="284" t="s">
        <v>130</v>
      </c>
      <c r="B70" s="285">
        <f>3^0.5*(B68^2+B69^2)^0.5</f>
        <v>407.99643499459279</v>
      </c>
      <c r="C70" s="285">
        <f t="shared" ref="C70:L70" si="14">3^0.5*(C68^2+C69^2)^0.5</f>
        <v>395.35299700994528</v>
      </c>
      <c r="D70" s="285">
        <f t="shared" si="14"/>
        <v>396.45064459622722</v>
      </c>
      <c r="E70" s="285">
        <f t="shared" si="14"/>
        <v>397.73314413518295</v>
      </c>
      <c r="F70" s="285">
        <f t="shared" si="14"/>
        <v>397.08613269872478</v>
      </c>
      <c r="G70" s="285">
        <f t="shared" si="14"/>
        <v>397.75683067056929</v>
      </c>
      <c r="H70" s="285">
        <f t="shared" si="14"/>
        <v>398.23661763083777</v>
      </c>
      <c r="I70" s="285">
        <f t="shared" si="14"/>
        <v>397.93817005984926</v>
      </c>
      <c r="J70" s="284">
        <f t="shared" si="14"/>
        <v>398.23590378881272</v>
      </c>
      <c r="K70" s="284">
        <f t="shared" si="14"/>
        <v>398.45218483772805</v>
      </c>
      <c r="L70" s="284">
        <f t="shared" si="14"/>
        <v>398.86399025340069</v>
      </c>
    </row>
    <row r="71" spans="1:12" s="284" customFormat="1" ht="15" customHeight="1">
      <c r="B71" s="285"/>
      <c r="C71" s="285"/>
      <c r="D71" s="285"/>
      <c r="E71" s="285"/>
      <c r="F71" s="285"/>
      <c r="G71" s="285"/>
      <c r="H71" s="285"/>
      <c r="I71" s="285"/>
    </row>
    <row r="72" spans="1:12" s="286" customFormat="1" ht="15" customHeight="1">
      <c r="A72" s="286" t="s">
        <v>167</v>
      </c>
      <c r="B72" s="287">
        <f>B14</f>
        <v>400</v>
      </c>
      <c r="C72" s="287"/>
      <c r="D72" s="287"/>
      <c r="E72" s="287"/>
      <c r="F72" s="287"/>
      <c r="G72" s="287"/>
      <c r="H72" s="287"/>
      <c r="I72" s="287"/>
    </row>
    <row r="73" spans="1:12" s="284" customFormat="1" ht="15" customHeight="1">
      <c r="A73" s="284" t="s">
        <v>160</v>
      </c>
      <c r="B73" s="285">
        <f>B63*B74/B16</f>
        <v>235.9231607167861</v>
      </c>
      <c r="C73" s="285">
        <f t="shared" ref="C73:K73" si="15">C63*C74/C16</f>
        <v>233.44345120770487</v>
      </c>
      <c r="D73" s="285">
        <f t="shared" si="15"/>
        <v>232.00086109018972</v>
      </c>
      <c r="E73" s="285">
        <f t="shared" si="15"/>
        <v>230.55416673417</v>
      </c>
      <c r="F73" s="285">
        <f t="shared" si="15"/>
        <v>229.90802469584281</v>
      </c>
      <c r="G73" s="285">
        <f t="shared" si="15"/>
        <v>229.31216760028533</v>
      </c>
      <c r="H73" s="285">
        <f t="shared" si="15"/>
        <v>228.39315638633747</v>
      </c>
      <c r="I73" s="285">
        <f t="shared" si="15"/>
        <v>227.48636284372836</v>
      </c>
      <c r="J73" s="284">
        <f t="shared" si="15"/>
        <v>227.00037193518324</v>
      </c>
      <c r="K73" s="284">
        <f t="shared" si="15"/>
        <v>226.73296122009111</v>
      </c>
    </row>
    <row r="74" spans="1:12" s="284" customFormat="1" ht="15" customHeight="1">
      <c r="A74" s="284" t="s">
        <v>168</v>
      </c>
      <c r="B74" s="285">
        <f>B16*B14/B70</f>
        <v>20.588415190714414</v>
      </c>
      <c r="C74" s="285">
        <f t="shared" ref="C74:K74" si="16">C16*C14/C70</f>
        <v>26.305605569339804</v>
      </c>
      <c r="D74" s="285">
        <f t="shared" si="16"/>
        <v>30.268584913568827</v>
      </c>
      <c r="E74" s="285">
        <f t="shared" si="16"/>
        <v>36.205179810475329</v>
      </c>
      <c r="F74" s="285">
        <f t="shared" si="16"/>
        <v>40.293524962100456</v>
      </c>
      <c r="G74" s="285">
        <f t="shared" si="16"/>
        <v>45.253779726809981</v>
      </c>
      <c r="H74" s="285">
        <f t="shared" si="16"/>
        <v>51.225826799560259</v>
      </c>
      <c r="I74" s="285">
        <f t="shared" si="16"/>
        <v>59.305695647267513</v>
      </c>
      <c r="J74" s="284">
        <f t="shared" si="16"/>
        <v>71.314514160583371</v>
      </c>
      <c r="K74" s="284">
        <f t="shared" si="16"/>
        <v>77.299111843353245</v>
      </c>
    </row>
    <row r="75" spans="1:12" s="284" customFormat="1" ht="15" customHeight="1">
      <c r="A75" s="284" t="s">
        <v>169</v>
      </c>
      <c r="B75" s="285">
        <f>ROUND(B74,0)</f>
        <v>21</v>
      </c>
      <c r="C75" s="285">
        <f t="shared" ref="C75:K75" si="17">ROUND(C74,0)</f>
        <v>26</v>
      </c>
      <c r="D75" s="285">
        <f t="shared" si="17"/>
        <v>30</v>
      </c>
      <c r="E75" s="285">
        <f t="shared" si="17"/>
        <v>36</v>
      </c>
      <c r="F75" s="285">
        <f t="shared" si="17"/>
        <v>40</v>
      </c>
      <c r="G75" s="285">
        <f t="shared" si="17"/>
        <v>45</v>
      </c>
      <c r="H75" s="285">
        <f t="shared" si="17"/>
        <v>51</v>
      </c>
      <c r="I75" s="285">
        <f t="shared" si="17"/>
        <v>59</v>
      </c>
      <c r="J75" s="284">
        <f t="shared" si="17"/>
        <v>71</v>
      </c>
      <c r="K75" s="284">
        <f t="shared" si="17"/>
        <v>77</v>
      </c>
    </row>
    <row r="76" spans="1:12" s="284" customFormat="1" ht="15" customHeight="1">
      <c r="A76" s="284" t="s">
        <v>170</v>
      </c>
      <c r="B76" s="285">
        <f>B75*20+B61</f>
        <v>183</v>
      </c>
      <c r="C76" s="285">
        <f t="shared" ref="C76:K76" si="18">C75*20+C61</f>
        <v>233</v>
      </c>
      <c r="D76" s="285">
        <f t="shared" si="18"/>
        <v>274</v>
      </c>
      <c r="E76" s="285">
        <f t="shared" si="18"/>
        <v>333</v>
      </c>
      <c r="F76" s="285">
        <f t="shared" si="18"/>
        <v>373</v>
      </c>
      <c r="G76" s="285">
        <f t="shared" si="18"/>
        <v>423</v>
      </c>
      <c r="H76" s="285">
        <f t="shared" si="18"/>
        <v>483</v>
      </c>
      <c r="I76" s="285">
        <f t="shared" si="18"/>
        <v>564</v>
      </c>
      <c r="J76" s="284">
        <f t="shared" si="18"/>
        <v>683</v>
      </c>
      <c r="K76" s="284">
        <f t="shared" si="18"/>
        <v>744</v>
      </c>
    </row>
    <row r="77" spans="1:12" s="284" customFormat="1" ht="15" customHeight="1">
      <c r="A77" s="284" t="s">
        <v>171</v>
      </c>
      <c r="B77" s="285">
        <f>B11</f>
        <v>540</v>
      </c>
      <c r="C77" s="285">
        <f t="shared" ref="C77:K77" si="19">C11</f>
        <v>540</v>
      </c>
      <c r="D77" s="285">
        <f t="shared" si="19"/>
        <v>540</v>
      </c>
      <c r="E77" s="285">
        <f t="shared" si="19"/>
        <v>540</v>
      </c>
      <c r="F77" s="285">
        <f t="shared" si="19"/>
        <v>540</v>
      </c>
      <c r="G77" s="285">
        <f t="shared" si="19"/>
        <v>540</v>
      </c>
      <c r="H77" s="285">
        <f t="shared" si="19"/>
        <v>540</v>
      </c>
      <c r="I77" s="285">
        <f t="shared" si="19"/>
        <v>540</v>
      </c>
      <c r="J77" s="284">
        <f t="shared" si="19"/>
        <v>540</v>
      </c>
      <c r="K77" s="284">
        <f t="shared" si="19"/>
        <v>520</v>
      </c>
    </row>
    <row r="78" spans="1:12" s="284" customFormat="1" ht="15" customHeight="1">
      <c r="A78" s="284" t="s">
        <v>172</v>
      </c>
      <c r="B78" s="285">
        <f>B76*B77*PI()/30000</f>
        <v>10.348406200924778</v>
      </c>
      <c r="C78" s="285">
        <f t="shared" ref="C78:K78" si="20">C76*C77*PI()/30000</f>
        <v>13.175839589155592</v>
      </c>
      <c r="D78" s="285">
        <f t="shared" si="20"/>
        <v>15.494334967504859</v>
      </c>
      <c r="E78" s="285">
        <f t="shared" si="20"/>
        <v>18.830706365617221</v>
      </c>
      <c r="F78" s="285">
        <f t="shared" si="20"/>
        <v>21.09265307620187</v>
      </c>
      <c r="G78" s="285">
        <f t="shared" si="20"/>
        <v>23.920086464432686</v>
      </c>
      <c r="H78" s="285">
        <f t="shared" si="20"/>
        <v>27.313006530309664</v>
      </c>
      <c r="I78" s="285">
        <f t="shared" si="20"/>
        <v>31.893448619243582</v>
      </c>
      <c r="J78" s="284">
        <f t="shared" si="20"/>
        <v>38.62274008323292</v>
      </c>
      <c r="K78" s="284">
        <f t="shared" si="20"/>
        <v>40.513978860693967</v>
      </c>
    </row>
    <row r="79" spans="1:12" s="284" customFormat="1" ht="15" customHeight="1">
      <c r="A79" s="284" t="s">
        <v>173</v>
      </c>
      <c r="B79" s="285">
        <f>(3*B23/1000*B15^2+3*B73^2/B25+3*B24/1000*(B15^2-B32^2)+100)/1000</f>
        <v>4.3226338814747844</v>
      </c>
      <c r="C79" s="285">
        <f t="shared" ref="C79:K79" si="21">(3*C23/1000*C15^2+3*C73^2/C25+3*C24/1000*(C15^2-C32^2)+100)/1000</f>
        <v>4.5780166250024541</v>
      </c>
      <c r="D79" s="285">
        <f t="shared" si="21"/>
        <v>4.5916884838036847</v>
      </c>
      <c r="E79" s="285">
        <f t="shared" si="21"/>
        <v>4.7215801748816544</v>
      </c>
      <c r="F79" s="285">
        <f t="shared" si="21"/>
        <v>4.7773338669284175</v>
      </c>
      <c r="G79" s="285">
        <f t="shared" si="21"/>
        <v>4.8836006257452569</v>
      </c>
      <c r="H79" s="285">
        <f t="shared" si="21"/>
        <v>4.9728105399295304</v>
      </c>
      <c r="I79" s="285">
        <f t="shared" si="21"/>
        <v>5.1212882542701283</v>
      </c>
      <c r="J79" s="284">
        <f t="shared" si="21"/>
        <v>5.4112175225314214</v>
      </c>
      <c r="K79" s="284">
        <f t="shared" si="21"/>
        <v>5.3021667478691308</v>
      </c>
    </row>
    <row r="80" spans="1:12" s="284" customFormat="1" ht="15" customHeight="1">
      <c r="A80" s="284" t="s">
        <v>174</v>
      </c>
      <c r="B80" s="285">
        <f>B78-B79</f>
        <v>6.0257723194499935</v>
      </c>
      <c r="C80" s="285">
        <f t="shared" ref="C80:K80" si="22">C78-C79</f>
        <v>8.5978229641531385</v>
      </c>
      <c r="D80" s="285">
        <f t="shared" si="22"/>
        <v>10.902646483701174</v>
      </c>
      <c r="E80" s="285">
        <f t="shared" si="22"/>
        <v>14.109126190735566</v>
      </c>
      <c r="F80" s="285">
        <f t="shared" si="22"/>
        <v>16.315319209273454</v>
      </c>
      <c r="G80" s="285">
        <f t="shared" si="22"/>
        <v>19.03648583868743</v>
      </c>
      <c r="H80" s="285">
        <f t="shared" si="22"/>
        <v>22.340195990380135</v>
      </c>
      <c r="I80" s="285">
        <f t="shared" si="22"/>
        <v>26.772160364973452</v>
      </c>
      <c r="J80" s="284">
        <f t="shared" si="22"/>
        <v>33.211522560701496</v>
      </c>
      <c r="K80" s="284">
        <f t="shared" si="22"/>
        <v>35.211812112824838</v>
      </c>
    </row>
    <row r="81" spans="1:11" s="284" customFormat="1" ht="15" customHeight="1">
      <c r="A81" s="284" t="s">
        <v>175</v>
      </c>
      <c r="B81" s="285">
        <f>B80/B78</f>
        <v>0.58228989106665574</v>
      </c>
      <c r="C81" s="285">
        <f t="shared" ref="C81:K81" si="23">C80/C78</f>
        <v>0.65254459922459884</v>
      </c>
      <c r="D81" s="285">
        <f t="shared" si="23"/>
        <v>0.7036537228972074</v>
      </c>
      <c r="E81" s="285">
        <f t="shared" si="23"/>
        <v>0.74926165364127095</v>
      </c>
      <c r="F81" s="285">
        <f t="shared" si="23"/>
        <v>0.77350720890021551</v>
      </c>
      <c r="G81" s="285">
        <f t="shared" si="23"/>
        <v>0.79583683223692392</v>
      </c>
      <c r="H81" s="285">
        <f t="shared" si="23"/>
        <v>0.8179325101243935</v>
      </c>
      <c r="I81" s="285">
        <f t="shared" si="23"/>
        <v>0.83942507079086792</v>
      </c>
      <c r="J81" s="284">
        <f t="shared" si="23"/>
        <v>0.85989555606696677</v>
      </c>
      <c r="K81" s="284">
        <f t="shared" si="23"/>
        <v>0.86912747409726254</v>
      </c>
    </row>
    <row r="82" spans="1:11" s="284" customFormat="1" ht="15" customHeight="1">
      <c r="A82" s="284" t="s">
        <v>176</v>
      </c>
      <c r="B82" s="285">
        <f>B80*1000/3^0.5/B14/B15</f>
        <v>0.15258689783815127</v>
      </c>
      <c r="C82" s="285">
        <f t="shared" ref="C82:K82" si="24">C80*1000/3^0.5/C14/C15</f>
        <v>0.16502511312495213</v>
      </c>
      <c r="D82" s="285">
        <f t="shared" si="24"/>
        <v>0.18067295873261194</v>
      </c>
      <c r="E82" s="285">
        <f t="shared" si="24"/>
        <v>0.19413507636443228</v>
      </c>
      <c r="F82" s="285">
        <f t="shared" si="24"/>
        <v>0.20231215501264391</v>
      </c>
      <c r="G82" s="285">
        <f t="shared" si="24"/>
        <v>0.20990680334970752</v>
      </c>
      <c r="H82" s="285">
        <f t="shared" si="24"/>
        <v>0.21583196400259322</v>
      </c>
      <c r="I82" s="285">
        <f t="shared" si="24"/>
        <v>0.22169985647597895</v>
      </c>
      <c r="J82" s="284">
        <f t="shared" si="24"/>
        <v>0.22947201400931475</v>
      </c>
      <c r="K82" s="284">
        <f t="shared" si="24"/>
        <v>0.23175500686267608</v>
      </c>
    </row>
    <row r="83" spans="1:11" s="276" customFormat="1" ht="15" customHeight="1">
      <c r="B83" s="275"/>
      <c r="C83" s="275"/>
      <c r="D83" s="275"/>
      <c r="E83" s="275"/>
      <c r="F83" s="275"/>
      <c r="G83" s="275"/>
      <c r="H83" s="275"/>
      <c r="I83" s="275"/>
    </row>
    <row r="84" spans="1:11" s="276" customFormat="1" ht="15" customHeight="1">
      <c r="B84" s="275"/>
      <c r="C84" s="275"/>
      <c r="D84" s="275"/>
      <c r="E84" s="275"/>
      <c r="F84" s="275"/>
      <c r="G84" s="275"/>
      <c r="H84" s="275"/>
      <c r="I84" s="275"/>
    </row>
    <row r="85" spans="1:11" s="276" customFormat="1" ht="15" customHeight="1">
      <c r="B85" s="275"/>
      <c r="C85" s="275"/>
      <c r="D85" s="275"/>
      <c r="E85" s="275"/>
      <c r="F85" s="275"/>
      <c r="G85" s="275"/>
      <c r="H85" s="275"/>
      <c r="I85" s="275"/>
    </row>
    <row r="86" spans="1:11" s="276" customFormat="1" ht="15" customHeight="1">
      <c r="B86" s="275"/>
      <c r="C86" s="275"/>
      <c r="D86" s="275"/>
      <c r="E86" s="275"/>
      <c r="F86" s="275"/>
      <c r="G86" s="275"/>
      <c r="H86" s="275"/>
      <c r="I86" s="275"/>
    </row>
    <row r="87" spans="1:11" s="276" customFormat="1" ht="15" customHeight="1">
      <c r="B87" s="275"/>
      <c r="C87" s="275"/>
      <c r="D87" s="275"/>
      <c r="E87" s="275"/>
      <c r="F87" s="275"/>
      <c r="G87" s="275"/>
      <c r="H87" s="275"/>
      <c r="I87" s="275"/>
    </row>
    <row r="88" spans="1:11" s="276" customFormat="1" ht="15" customHeight="1">
      <c r="B88" s="275"/>
      <c r="C88" s="275"/>
      <c r="D88" s="275"/>
      <c r="E88" s="275"/>
      <c r="F88" s="275"/>
      <c r="G88" s="275"/>
      <c r="H88" s="275"/>
      <c r="I88" s="275"/>
    </row>
    <row r="89" spans="1:11" s="276" customFormat="1" ht="15" customHeight="1">
      <c r="B89" s="275"/>
      <c r="C89" s="275"/>
      <c r="D89" s="275"/>
      <c r="E89" s="275"/>
      <c r="F89" s="275"/>
      <c r="G89" s="275"/>
      <c r="H89" s="275"/>
      <c r="I89" s="275"/>
    </row>
    <row r="90" spans="1:11" s="276" customFormat="1" ht="15" customHeight="1">
      <c r="B90" s="275"/>
      <c r="C90" s="275"/>
      <c r="D90" s="275"/>
      <c r="E90" s="275"/>
      <c r="F90" s="275"/>
      <c r="G90" s="275"/>
      <c r="H90" s="275"/>
      <c r="I90" s="275"/>
    </row>
    <row r="91" spans="1:11" s="276" customFormat="1" ht="15" customHeight="1">
      <c r="B91" s="275"/>
      <c r="C91" s="275"/>
      <c r="D91" s="275"/>
      <c r="E91" s="275"/>
      <c r="F91" s="275"/>
      <c r="G91" s="275"/>
      <c r="H91" s="275"/>
      <c r="I91" s="275"/>
    </row>
    <row r="92" spans="1:11" s="276" customFormat="1" ht="15" customHeight="1">
      <c r="B92" s="275"/>
      <c r="C92" s="275"/>
      <c r="D92" s="275"/>
      <c r="E92" s="275"/>
      <c r="F92" s="275"/>
      <c r="G92" s="275"/>
      <c r="H92" s="275"/>
      <c r="I92" s="275"/>
    </row>
    <row r="93" spans="1:11" s="276" customFormat="1" ht="15" customHeight="1">
      <c r="B93" s="275"/>
      <c r="C93" s="275"/>
      <c r="D93" s="275"/>
      <c r="E93" s="275"/>
      <c r="F93" s="275"/>
      <c r="G93" s="275"/>
      <c r="H93" s="275"/>
      <c r="I93" s="275"/>
    </row>
    <row r="94" spans="1:11" s="276" customFormat="1" ht="15" customHeight="1">
      <c r="B94" s="275"/>
      <c r="C94" s="275"/>
      <c r="D94" s="275"/>
      <c r="E94" s="275"/>
      <c r="F94" s="275"/>
      <c r="G94" s="275"/>
      <c r="H94" s="275"/>
      <c r="I94" s="275"/>
    </row>
    <row r="95" spans="1:11" s="276" customFormat="1" ht="15" customHeight="1">
      <c r="B95" s="275"/>
      <c r="C95" s="275"/>
      <c r="D95" s="275"/>
      <c r="E95" s="275"/>
      <c r="F95" s="275"/>
      <c r="G95" s="275"/>
      <c r="H95" s="275"/>
      <c r="I95" s="275"/>
    </row>
    <row r="96" spans="1:11" s="276" customFormat="1" ht="15" customHeight="1">
      <c r="B96" s="275"/>
      <c r="C96" s="275"/>
      <c r="D96" s="275"/>
      <c r="E96" s="275"/>
      <c r="F96" s="275"/>
      <c r="G96" s="275"/>
      <c r="H96" s="275"/>
      <c r="I96" s="275"/>
    </row>
    <row r="97" spans="2:9" s="276" customFormat="1" ht="15" customHeight="1">
      <c r="B97" s="275"/>
      <c r="C97" s="275"/>
      <c r="D97" s="275"/>
      <c r="E97" s="275"/>
      <c r="F97" s="275"/>
      <c r="G97" s="275"/>
      <c r="H97" s="275"/>
      <c r="I97" s="275"/>
    </row>
    <row r="98" spans="2:9" s="276" customFormat="1" ht="15" customHeight="1">
      <c r="B98" s="275"/>
      <c r="C98" s="275"/>
      <c r="D98" s="275"/>
      <c r="E98" s="275"/>
      <c r="F98" s="275"/>
      <c r="G98" s="275"/>
      <c r="H98" s="275"/>
      <c r="I98" s="275"/>
    </row>
    <row r="99" spans="2:9" s="276" customFormat="1" ht="15" customHeight="1">
      <c r="B99" s="275"/>
      <c r="C99" s="275"/>
      <c r="D99" s="275"/>
      <c r="E99" s="275"/>
      <c r="F99" s="275"/>
      <c r="G99" s="275"/>
      <c r="H99" s="275"/>
      <c r="I99" s="275"/>
    </row>
    <row r="100" spans="2:9" s="276" customFormat="1" ht="15" customHeight="1">
      <c r="B100" s="275"/>
      <c r="C100" s="275"/>
      <c r="D100" s="275"/>
      <c r="E100" s="275"/>
      <c r="F100" s="275"/>
      <c r="G100" s="275"/>
      <c r="H100" s="275"/>
      <c r="I100" s="275"/>
    </row>
    <row r="101" spans="2:9" s="276" customFormat="1" ht="15" customHeight="1">
      <c r="B101" s="275"/>
      <c r="C101" s="275"/>
      <c r="D101" s="275"/>
      <c r="E101" s="275"/>
      <c r="F101" s="275"/>
      <c r="G101" s="275"/>
      <c r="H101" s="275"/>
      <c r="I101" s="275"/>
    </row>
    <row r="102" spans="2:9" s="276" customFormat="1" ht="15" customHeight="1">
      <c r="B102" s="275"/>
      <c r="C102" s="275"/>
      <c r="D102" s="275"/>
      <c r="E102" s="275"/>
      <c r="F102" s="275"/>
      <c r="G102" s="275"/>
      <c r="H102" s="275"/>
      <c r="I102" s="275"/>
    </row>
    <row r="103" spans="2:9" s="276" customFormat="1" ht="15" customHeight="1">
      <c r="B103" s="275"/>
      <c r="C103" s="275"/>
      <c r="D103" s="275"/>
      <c r="E103" s="275"/>
      <c r="F103" s="275"/>
      <c r="G103" s="275"/>
      <c r="H103" s="275"/>
      <c r="I103" s="275"/>
    </row>
    <row r="104" spans="2:9" s="276" customFormat="1" ht="15" customHeight="1">
      <c r="B104" s="275"/>
      <c r="C104" s="275"/>
      <c r="D104" s="275"/>
      <c r="E104" s="275"/>
      <c r="F104" s="275"/>
      <c r="G104" s="275"/>
      <c r="H104" s="275"/>
      <c r="I104" s="275"/>
    </row>
    <row r="105" spans="2:9" s="276" customFormat="1" ht="15" customHeight="1">
      <c r="B105" s="275"/>
      <c r="C105" s="275"/>
      <c r="D105" s="275"/>
      <c r="E105" s="275"/>
      <c r="F105" s="275"/>
      <c r="G105" s="275"/>
      <c r="H105" s="275"/>
      <c r="I105" s="275"/>
    </row>
    <row r="106" spans="2:9" s="276" customFormat="1" ht="15" customHeight="1">
      <c r="B106" s="275"/>
      <c r="C106" s="275"/>
      <c r="D106" s="275"/>
      <c r="E106" s="275"/>
      <c r="F106" s="275"/>
      <c r="G106" s="275"/>
      <c r="H106" s="275"/>
      <c r="I106" s="275"/>
    </row>
    <row r="107" spans="2:9" s="276" customFormat="1" ht="15" customHeight="1">
      <c r="B107" s="275"/>
      <c r="C107" s="275"/>
      <c r="D107" s="275"/>
      <c r="E107" s="275"/>
      <c r="F107" s="275"/>
      <c r="G107" s="275"/>
      <c r="H107" s="275"/>
      <c r="I107" s="275"/>
    </row>
    <row r="108" spans="2:9" s="276" customFormat="1" ht="15" customHeight="1">
      <c r="B108" s="275"/>
      <c r="C108" s="275"/>
      <c r="D108" s="275"/>
      <c r="E108" s="275"/>
      <c r="F108" s="275"/>
      <c r="G108" s="275"/>
      <c r="H108" s="275"/>
      <c r="I108" s="275"/>
    </row>
    <row r="109" spans="2:9" s="276" customFormat="1" ht="15" customHeight="1">
      <c r="B109" s="275"/>
      <c r="C109" s="275"/>
      <c r="D109" s="275"/>
      <c r="E109" s="275"/>
      <c r="F109" s="275"/>
      <c r="G109" s="275"/>
      <c r="H109" s="275"/>
      <c r="I109" s="275"/>
    </row>
    <row r="110" spans="2:9" s="276" customFormat="1" ht="15" customHeight="1">
      <c r="B110" s="275"/>
      <c r="C110" s="275"/>
      <c r="D110" s="275"/>
      <c r="E110" s="275"/>
      <c r="F110" s="275"/>
      <c r="G110" s="275"/>
      <c r="H110" s="275"/>
      <c r="I110" s="275"/>
    </row>
    <row r="111" spans="2:9" s="276" customFormat="1" ht="15" customHeight="1">
      <c r="B111" s="275"/>
      <c r="C111" s="275"/>
      <c r="D111" s="275"/>
      <c r="E111" s="275"/>
      <c r="F111" s="275"/>
      <c r="G111" s="275"/>
      <c r="H111" s="275"/>
      <c r="I111" s="275"/>
    </row>
    <row r="112" spans="2:9" ht="15" customHeight="1">
      <c r="B112" s="230"/>
      <c r="C112" s="230"/>
      <c r="D112" s="230"/>
      <c r="E112" s="230"/>
      <c r="F112" s="230"/>
      <c r="G112" s="230"/>
      <c r="H112" s="230"/>
      <c r="I112" s="230"/>
    </row>
    <row r="113" spans="2:9" ht="15" customHeight="1">
      <c r="B113" s="230"/>
      <c r="C113" s="230"/>
      <c r="D113" s="230"/>
      <c r="E113" s="230"/>
      <c r="F113" s="230"/>
      <c r="G113" s="230"/>
      <c r="H113" s="230"/>
      <c r="I113" s="230"/>
    </row>
    <row r="114" spans="2:9" ht="15" customHeight="1">
      <c r="B114" s="230"/>
      <c r="C114" s="230"/>
      <c r="D114" s="230"/>
      <c r="E114" s="230"/>
      <c r="F114" s="230"/>
      <c r="G114" s="230"/>
      <c r="H114" s="230"/>
      <c r="I114" s="230"/>
    </row>
    <row r="115" spans="2:9" ht="15" customHeight="1">
      <c r="B115" s="230"/>
      <c r="C115" s="230"/>
      <c r="D115" s="230"/>
      <c r="E115" s="230"/>
      <c r="F115" s="230"/>
      <c r="G115" s="230"/>
      <c r="H115" s="230"/>
      <c r="I115" s="230"/>
    </row>
    <row r="116" spans="2:9" ht="15" customHeight="1">
      <c r="B116" s="230"/>
      <c r="C116" s="230"/>
      <c r="D116" s="230"/>
      <c r="E116" s="230"/>
      <c r="F116" s="230"/>
      <c r="G116" s="230"/>
      <c r="H116" s="230"/>
      <c r="I116" s="230"/>
    </row>
    <row r="117" spans="2:9" ht="15" customHeight="1">
      <c r="B117" s="230"/>
      <c r="C117" s="230"/>
      <c r="D117" s="230"/>
      <c r="E117" s="230"/>
      <c r="F117" s="230"/>
      <c r="G117" s="230"/>
      <c r="H117" s="230"/>
      <c r="I117" s="230"/>
    </row>
    <row r="118" spans="2:9" ht="15" customHeight="1">
      <c r="B118" s="230"/>
      <c r="C118" s="230"/>
      <c r="D118" s="230"/>
      <c r="E118" s="230"/>
      <c r="F118" s="230"/>
      <c r="G118" s="230"/>
      <c r="H118" s="230"/>
      <c r="I118" s="230"/>
    </row>
    <row r="119" spans="2:9" ht="15" customHeight="1">
      <c r="B119" s="230"/>
      <c r="C119" s="230"/>
      <c r="D119" s="230"/>
      <c r="E119" s="230"/>
      <c r="F119" s="230"/>
      <c r="G119" s="230"/>
      <c r="H119" s="230"/>
      <c r="I119" s="230"/>
    </row>
    <row r="120" spans="2:9" ht="15" customHeight="1">
      <c r="B120" s="230"/>
      <c r="C120" s="230"/>
      <c r="D120" s="230"/>
      <c r="E120" s="230"/>
      <c r="F120" s="230"/>
      <c r="G120" s="230"/>
      <c r="H120" s="230"/>
      <c r="I120" s="230"/>
    </row>
    <row r="121" spans="2:9" ht="15" customHeight="1">
      <c r="B121" s="230"/>
      <c r="C121" s="230"/>
      <c r="D121" s="230"/>
      <c r="E121" s="230"/>
      <c r="F121" s="230"/>
      <c r="G121" s="230"/>
      <c r="H121" s="230"/>
      <c r="I121" s="230"/>
    </row>
    <row r="122" spans="2:9" ht="15" customHeight="1">
      <c r="B122" s="230"/>
      <c r="C122" s="230"/>
      <c r="D122" s="230"/>
      <c r="E122" s="230"/>
      <c r="F122" s="230"/>
      <c r="G122" s="230"/>
      <c r="H122" s="230"/>
      <c r="I122" s="230"/>
    </row>
  </sheetData>
  <sheetProtection sheet="1" objects="1" scenarios="1"/>
  <pageMargins left="0.74803149606299213" right="0.39370078740157483" top="0.39370078740157483" bottom="0.59055118110236227" header="0.19685039370078741" footer="0.39370078740157483"/>
  <pageSetup paperSize="9" scale="44" fitToHeight="2" orientation="portrait" horizontalDpi="120" verticalDpi="144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5121" r:id="rId4">
          <objectPr defaultSize="0" autoPict="0" r:id="rId5">
            <anchor moveWithCells="1">
              <from>
                <xdr:col>0</xdr:col>
                <xdr:colOff>104775</xdr:colOff>
                <xdr:row>1</xdr:row>
                <xdr:rowOff>142875</xdr:rowOff>
              </from>
              <to>
                <xdr:col>1</xdr:col>
                <xdr:colOff>723900</xdr:colOff>
                <xdr:row>4</xdr:row>
                <xdr:rowOff>76200</xdr:rowOff>
              </to>
            </anchor>
          </objectPr>
        </oleObject>
      </mc:Choice>
      <mc:Fallback>
        <oleObject progId="Word.Picture.8" shapeId="5121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116"/>
  <sheetViews>
    <sheetView zoomScale="90" zoomScaleNormal="90" workbookViewId="0">
      <selection activeCell="L1" sqref="L1"/>
    </sheetView>
  </sheetViews>
  <sheetFormatPr defaultColWidth="11.42578125" defaultRowHeight="15"/>
  <cols>
    <col min="1" max="1" width="11.42578125" style="288"/>
    <col min="2" max="2" width="16.28515625" style="288" customWidth="1"/>
    <col min="3" max="3" width="14.85546875" style="288" customWidth="1"/>
    <col min="4" max="5" width="11.42578125" style="289"/>
    <col min="6" max="14" width="9.28515625" style="291" customWidth="1"/>
    <col min="15" max="15" width="9.28515625" style="292" hidden="1" customWidth="1"/>
    <col min="16" max="16" width="9.28515625" style="291" hidden="1" customWidth="1"/>
    <col min="17" max="17" width="9.28515625" style="293" hidden="1" customWidth="1"/>
    <col min="18" max="18" width="9.28515625" style="292" hidden="1" customWidth="1"/>
    <col min="19" max="19" width="8.42578125" style="291" hidden="1" customWidth="1"/>
    <col min="20" max="20" width="9.28515625" style="293" hidden="1" customWidth="1"/>
    <col min="21" max="21" width="9.28515625" style="294" customWidth="1"/>
    <col min="22" max="23" width="9.28515625" style="291" hidden="1" customWidth="1"/>
    <col min="24" max="25" width="9.28515625" style="291" customWidth="1"/>
    <col min="26" max="26" width="11.42578125" style="295"/>
    <col min="27" max="28" width="16.42578125" style="296" customWidth="1"/>
    <col min="29" max="257" width="11.42578125" style="288"/>
    <col min="258" max="258" width="16.28515625" style="288" customWidth="1"/>
    <col min="259" max="259" width="14.85546875" style="288" customWidth="1"/>
    <col min="260" max="261" width="11.42578125" style="288"/>
    <col min="262" max="270" width="9.28515625" style="288" customWidth="1"/>
    <col min="271" max="276" width="0" style="288" hidden="1" customWidth="1"/>
    <col min="277" max="277" width="9.28515625" style="288" customWidth="1"/>
    <col min="278" max="279" width="0" style="288" hidden="1" customWidth="1"/>
    <col min="280" max="281" width="9.28515625" style="288" customWidth="1"/>
    <col min="282" max="282" width="11.42578125" style="288"/>
    <col min="283" max="284" width="16.42578125" style="288" customWidth="1"/>
    <col min="285" max="513" width="11.42578125" style="288"/>
    <col min="514" max="514" width="16.28515625" style="288" customWidth="1"/>
    <col min="515" max="515" width="14.85546875" style="288" customWidth="1"/>
    <col min="516" max="517" width="11.42578125" style="288"/>
    <col min="518" max="526" width="9.28515625" style="288" customWidth="1"/>
    <col min="527" max="532" width="0" style="288" hidden="1" customWidth="1"/>
    <col min="533" max="533" width="9.28515625" style="288" customWidth="1"/>
    <col min="534" max="535" width="0" style="288" hidden="1" customWidth="1"/>
    <col min="536" max="537" width="9.28515625" style="288" customWidth="1"/>
    <col min="538" max="538" width="11.42578125" style="288"/>
    <col min="539" max="540" width="16.42578125" style="288" customWidth="1"/>
    <col min="541" max="769" width="11.42578125" style="288"/>
    <col min="770" max="770" width="16.28515625" style="288" customWidth="1"/>
    <col min="771" max="771" width="14.85546875" style="288" customWidth="1"/>
    <col min="772" max="773" width="11.42578125" style="288"/>
    <col min="774" max="782" width="9.28515625" style="288" customWidth="1"/>
    <col min="783" max="788" width="0" style="288" hidden="1" customWidth="1"/>
    <col min="789" max="789" width="9.28515625" style="288" customWidth="1"/>
    <col min="790" max="791" width="0" style="288" hidden="1" customWidth="1"/>
    <col min="792" max="793" width="9.28515625" style="288" customWidth="1"/>
    <col min="794" max="794" width="11.42578125" style="288"/>
    <col min="795" max="796" width="16.42578125" style="288" customWidth="1"/>
    <col min="797" max="1025" width="11.42578125" style="288"/>
    <col min="1026" max="1026" width="16.28515625" style="288" customWidth="1"/>
    <col min="1027" max="1027" width="14.85546875" style="288" customWidth="1"/>
    <col min="1028" max="1029" width="11.42578125" style="288"/>
    <col min="1030" max="1038" width="9.28515625" style="288" customWidth="1"/>
    <col min="1039" max="1044" width="0" style="288" hidden="1" customWidth="1"/>
    <col min="1045" max="1045" width="9.28515625" style="288" customWidth="1"/>
    <col min="1046" max="1047" width="0" style="288" hidden="1" customWidth="1"/>
    <col min="1048" max="1049" width="9.28515625" style="288" customWidth="1"/>
    <col min="1050" max="1050" width="11.42578125" style="288"/>
    <col min="1051" max="1052" width="16.42578125" style="288" customWidth="1"/>
    <col min="1053" max="1281" width="11.42578125" style="288"/>
    <col min="1282" max="1282" width="16.28515625" style="288" customWidth="1"/>
    <col min="1283" max="1283" width="14.85546875" style="288" customWidth="1"/>
    <col min="1284" max="1285" width="11.42578125" style="288"/>
    <col min="1286" max="1294" width="9.28515625" style="288" customWidth="1"/>
    <col min="1295" max="1300" width="0" style="288" hidden="1" customWidth="1"/>
    <col min="1301" max="1301" width="9.28515625" style="288" customWidth="1"/>
    <col min="1302" max="1303" width="0" style="288" hidden="1" customWidth="1"/>
    <col min="1304" max="1305" width="9.28515625" style="288" customWidth="1"/>
    <col min="1306" max="1306" width="11.42578125" style="288"/>
    <col min="1307" max="1308" width="16.42578125" style="288" customWidth="1"/>
    <col min="1309" max="1537" width="11.42578125" style="288"/>
    <col min="1538" max="1538" width="16.28515625" style="288" customWidth="1"/>
    <col min="1539" max="1539" width="14.85546875" style="288" customWidth="1"/>
    <col min="1540" max="1541" width="11.42578125" style="288"/>
    <col min="1542" max="1550" width="9.28515625" style="288" customWidth="1"/>
    <col min="1551" max="1556" width="0" style="288" hidden="1" customWidth="1"/>
    <col min="1557" max="1557" width="9.28515625" style="288" customWidth="1"/>
    <col min="1558" max="1559" width="0" style="288" hidden="1" customWidth="1"/>
    <col min="1560" max="1561" width="9.28515625" style="288" customWidth="1"/>
    <col min="1562" max="1562" width="11.42578125" style="288"/>
    <col min="1563" max="1564" width="16.42578125" style="288" customWidth="1"/>
    <col min="1565" max="1793" width="11.42578125" style="288"/>
    <col min="1794" max="1794" width="16.28515625" style="288" customWidth="1"/>
    <col min="1795" max="1795" width="14.85546875" style="288" customWidth="1"/>
    <col min="1796" max="1797" width="11.42578125" style="288"/>
    <col min="1798" max="1806" width="9.28515625" style="288" customWidth="1"/>
    <col min="1807" max="1812" width="0" style="288" hidden="1" customWidth="1"/>
    <col min="1813" max="1813" width="9.28515625" style="288" customWidth="1"/>
    <col min="1814" max="1815" width="0" style="288" hidden="1" customWidth="1"/>
    <col min="1816" max="1817" width="9.28515625" style="288" customWidth="1"/>
    <col min="1818" max="1818" width="11.42578125" style="288"/>
    <col min="1819" max="1820" width="16.42578125" style="288" customWidth="1"/>
    <col min="1821" max="2049" width="11.42578125" style="288"/>
    <col min="2050" max="2050" width="16.28515625" style="288" customWidth="1"/>
    <col min="2051" max="2051" width="14.85546875" style="288" customWidth="1"/>
    <col min="2052" max="2053" width="11.42578125" style="288"/>
    <col min="2054" max="2062" width="9.28515625" style="288" customWidth="1"/>
    <col min="2063" max="2068" width="0" style="288" hidden="1" customWidth="1"/>
    <col min="2069" max="2069" width="9.28515625" style="288" customWidth="1"/>
    <col min="2070" max="2071" width="0" style="288" hidden="1" customWidth="1"/>
    <col min="2072" max="2073" width="9.28515625" style="288" customWidth="1"/>
    <col min="2074" max="2074" width="11.42578125" style="288"/>
    <col min="2075" max="2076" width="16.42578125" style="288" customWidth="1"/>
    <col min="2077" max="2305" width="11.42578125" style="288"/>
    <col min="2306" max="2306" width="16.28515625" style="288" customWidth="1"/>
    <col min="2307" max="2307" width="14.85546875" style="288" customWidth="1"/>
    <col min="2308" max="2309" width="11.42578125" style="288"/>
    <col min="2310" max="2318" width="9.28515625" style="288" customWidth="1"/>
    <col min="2319" max="2324" width="0" style="288" hidden="1" customWidth="1"/>
    <col min="2325" max="2325" width="9.28515625" style="288" customWidth="1"/>
    <col min="2326" max="2327" width="0" style="288" hidden="1" customWidth="1"/>
    <col min="2328" max="2329" width="9.28515625" style="288" customWidth="1"/>
    <col min="2330" max="2330" width="11.42578125" style="288"/>
    <col min="2331" max="2332" width="16.42578125" style="288" customWidth="1"/>
    <col min="2333" max="2561" width="11.42578125" style="288"/>
    <col min="2562" max="2562" width="16.28515625" style="288" customWidth="1"/>
    <col min="2563" max="2563" width="14.85546875" style="288" customWidth="1"/>
    <col min="2564" max="2565" width="11.42578125" style="288"/>
    <col min="2566" max="2574" width="9.28515625" style="288" customWidth="1"/>
    <col min="2575" max="2580" width="0" style="288" hidden="1" customWidth="1"/>
    <col min="2581" max="2581" width="9.28515625" style="288" customWidth="1"/>
    <col min="2582" max="2583" width="0" style="288" hidden="1" customWidth="1"/>
    <col min="2584" max="2585" width="9.28515625" style="288" customWidth="1"/>
    <col min="2586" max="2586" width="11.42578125" style="288"/>
    <col min="2587" max="2588" width="16.42578125" style="288" customWidth="1"/>
    <col min="2589" max="2817" width="11.42578125" style="288"/>
    <col min="2818" max="2818" width="16.28515625" style="288" customWidth="1"/>
    <col min="2819" max="2819" width="14.85546875" style="288" customWidth="1"/>
    <col min="2820" max="2821" width="11.42578125" style="288"/>
    <col min="2822" max="2830" width="9.28515625" style="288" customWidth="1"/>
    <col min="2831" max="2836" width="0" style="288" hidden="1" customWidth="1"/>
    <col min="2837" max="2837" width="9.28515625" style="288" customWidth="1"/>
    <col min="2838" max="2839" width="0" style="288" hidden="1" customWidth="1"/>
    <col min="2840" max="2841" width="9.28515625" style="288" customWidth="1"/>
    <col min="2842" max="2842" width="11.42578125" style="288"/>
    <col min="2843" max="2844" width="16.42578125" style="288" customWidth="1"/>
    <col min="2845" max="3073" width="11.42578125" style="288"/>
    <col min="3074" max="3074" width="16.28515625" style="288" customWidth="1"/>
    <col min="3075" max="3075" width="14.85546875" style="288" customWidth="1"/>
    <col min="3076" max="3077" width="11.42578125" style="288"/>
    <col min="3078" max="3086" width="9.28515625" style="288" customWidth="1"/>
    <col min="3087" max="3092" width="0" style="288" hidden="1" customWidth="1"/>
    <col min="3093" max="3093" width="9.28515625" style="288" customWidth="1"/>
    <col min="3094" max="3095" width="0" style="288" hidden="1" customWidth="1"/>
    <col min="3096" max="3097" width="9.28515625" style="288" customWidth="1"/>
    <col min="3098" max="3098" width="11.42578125" style="288"/>
    <col min="3099" max="3100" width="16.42578125" style="288" customWidth="1"/>
    <col min="3101" max="3329" width="11.42578125" style="288"/>
    <col min="3330" max="3330" width="16.28515625" style="288" customWidth="1"/>
    <col min="3331" max="3331" width="14.85546875" style="288" customWidth="1"/>
    <col min="3332" max="3333" width="11.42578125" style="288"/>
    <col min="3334" max="3342" width="9.28515625" style="288" customWidth="1"/>
    <col min="3343" max="3348" width="0" style="288" hidden="1" customWidth="1"/>
    <col min="3349" max="3349" width="9.28515625" style="288" customWidth="1"/>
    <col min="3350" max="3351" width="0" style="288" hidden="1" customWidth="1"/>
    <col min="3352" max="3353" width="9.28515625" style="288" customWidth="1"/>
    <col min="3354" max="3354" width="11.42578125" style="288"/>
    <col min="3355" max="3356" width="16.42578125" style="288" customWidth="1"/>
    <col min="3357" max="3585" width="11.42578125" style="288"/>
    <col min="3586" max="3586" width="16.28515625" style="288" customWidth="1"/>
    <col min="3587" max="3587" width="14.85546875" style="288" customWidth="1"/>
    <col min="3588" max="3589" width="11.42578125" style="288"/>
    <col min="3590" max="3598" width="9.28515625" style="288" customWidth="1"/>
    <col min="3599" max="3604" width="0" style="288" hidden="1" customWidth="1"/>
    <col min="3605" max="3605" width="9.28515625" style="288" customWidth="1"/>
    <col min="3606" max="3607" width="0" style="288" hidden="1" customWidth="1"/>
    <col min="3608" max="3609" width="9.28515625" style="288" customWidth="1"/>
    <col min="3610" max="3610" width="11.42578125" style="288"/>
    <col min="3611" max="3612" width="16.42578125" style="288" customWidth="1"/>
    <col min="3613" max="3841" width="11.42578125" style="288"/>
    <col min="3842" max="3842" width="16.28515625" style="288" customWidth="1"/>
    <col min="3843" max="3843" width="14.85546875" style="288" customWidth="1"/>
    <col min="3844" max="3845" width="11.42578125" style="288"/>
    <col min="3846" max="3854" width="9.28515625" style="288" customWidth="1"/>
    <col min="3855" max="3860" width="0" style="288" hidden="1" customWidth="1"/>
    <col min="3861" max="3861" width="9.28515625" style="288" customWidth="1"/>
    <col min="3862" max="3863" width="0" style="288" hidden="1" customWidth="1"/>
    <col min="3864" max="3865" width="9.28515625" style="288" customWidth="1"/>
    <col min="3866" max="3866" width="11.42578125" style="288"/>
    <col min="3867" max="3868" width="16.42578125" style="288" customWidth="1"/>
    <col min="3869" max="4097" width="11.42578125" style="288"/>
    <col min="4098" max="4098" width="16.28515625" style="288" customWidth="1"/>
    <col min="4099" max="4099" width="14.85546875" style="288" customWidth="1"/>
    <col min="4100" max="4101" width="11.42578125" style="288"/>
    <col min="4102" max="4110" width="9.28515625" style="288" customWidth="1"/>
    <col min="4111" max="4116" width="0" style="288" hidden="1" customWidth="1"/>
    <col min="4117" max="4117" width="9.28515625" style="288" customWidth="1"/>
    <col min="4118" max="4119" width="0" style="288" hidden="1" customWidth="1"/>
    <col min="4120" max="4121" width="9.28515625" style="288" customWidth="1"/>
    <col min="4122" max="4122" width="11.42578125" style="288"/>
    <col min="4123" max="4124" width="16.42578125" style="288" customWidth="1"/>
    <col min="4125" max="4353" width="11.42578125" style="288"/>
    <col min="4354" max="4354" width="16.28515625" style="288" customWidth="1"/>
    <col min="4355" max="4355" width="14.85546875" style="288" customWidth="1"/>
    <col min="4356" max="4357" width="11.42578125" style="288"/>
    <col min="4358" max="4366" width="9.28515625" style="288" customWidth="1"/>
    <col min="4367" max="4372" width="0" style="288" hidden="1" customWidth="1"/>
    <col min="4373" max="4373" width="9.28515625" style="288" customWidth="1"/>
    <col min="4374" max="4375" width="0" style="288" hidden="1" customWidth="1"/>
    <col min="4376" max="4377" width="9.28515625" style="288" customWidth="1"/>
    <col min="4378" max="4378" width="11.42578125" style="288"/>
    <col min="4379" max="4380" width="16.42578125" style="288" customWidth="1"/>
    <col min="4381" max="4609" width="11.42578125" style="288"/>
    <col min="4610" max="4610" width="16.28515625" style="288" customWidth="1"/>
    <col min="4611" max="4611" width="14.85546875" style="288" customWidth="1"/>
    <col min="4612" max="4613" width="11.42578125" style="288"/>
    <col min="4614" max="4622" width="9.28515625" style="288" customWidth="1"/>
    <col min="4623" max="4628" width="0" style="288" hidden="1" customWidth="1"/>
    <col min="4629" max="4629" width="9.28515625" style="288" customWidth="1"/>
    <col min="4630" max="4631" width="0" style="288" hidden="1" customWidth="1"/>
    <col min="4632" max="4633" width="9.28515625" style="288" customWidth="1"/>
    <col min="4634" max="4634" width="11.42578125" style="288"/>
    <col min="4635" max="4636" width="16.42578125" style="288" customWidth="1"/>
    <col min="4637" max="4865" width="11.42578125" style="288"/>
    <col min="4866" max="4866" width="16.28515625" style="288" customWidth="1"/>
    <col min="4867" max="4867" width="14.85546875" style="288" customWidth="1"/>
    <col min="4868" max="4869" width="11.42578125" style="288"/>
    <col min="4870" max="4878" width="9.28515625" style="288" customWidth="1"/>
    <col min="4879" max="4884" width="0" style="288" hidden="1" customWidth="1"/>
    <col min="4885" max="4885" width="9.28515625" style="288" customWidth="1"/>
    <col min="4886" max="4887" width="0" style="288" hidden="1" customWidth="1"/>
    <col min="4888" max="4889" width="9.28515625" style="288" customWidth="1"/>
    <col min="4890" max="4890" width="11.42578125" style="288"/>
    <col min="4891" max="4892" width="16.42578125" style="288" customWidth="1"/>
    <col min="4893" max="5121" width="11.42578125" style="288"/>
    <col min="5122" max="5122" width="16.28515625" style="288" customWidth="1"/>
    <col min="5123" max="5123" width="14.85546875" style="288" customWidth="1"/>
    <col min="5124" max="5125" width="11.42578125" style="288"/>
    <col min="5126" max="5134" width="9.28515625" style="288" customWidth="1"/>
    <col min="5135" max="5140" width="0" style="288" hidden="1" customWidth="1"/>
    <col min="5141" max="5141" width="9.28515625" style="288" customWidth="1"/>
    <col min="5142" max="5143" width="0" style="288" hidden="1" customWidth="1"/>
    <col min="5144" max="5145" width="9.28515625" style="288" customWidth="1"/>
    <col min="5146" max="5146" width="11.42578125" style="288"/>
    <col min="5147" max="5148" width="16.42578125" style="288" customWidth="1"/>
    <col min="5149" max="5377" width="11.42578125" style="288"/>
    <col min="5378" max="5378" width="16.28515625" style="288" customWidth="1"/>
    <col min="5379" max="5379" width="14.85546875" style="288" customWidth="1"/>
    <col min="5380" max="5381" width="11.42578125" style="288"/>
    <col min="5382" max="5390" width="9.28515625" style="288" customWidth="1"/>
    <col min="5391" max="5396" width="0" style="288" hidden="1" customWidth="1"/>
    <col min="5397" max="5397" width="9.28515625" style="288" customWidth="1"/>
    <col min="5398" max="5399" width="0" style="288" hidden="1" customWidth="1"/>
    <col min="5400" max="5401" width="9.28515625" style="288" customWidth="1"/>
    <col min="5402" max="5402" width="11.42578125" style="288"/>
    <col min="5403" max="5404" width="16.42578125" style="288" customWidth="1"/>
    <col min="5405" max="5633" width="11.42578125" style="288"/>
    <col min="5634" max="5634" width="16.28515625" style="288" customWidth="1"/>
    <col min="5635" max="5635" width="14.85546875" style="288" customWidth="1"/>
    <col min="5636" max="5637" width="11.42578125" style="288"/>
    <col min="5638" max="5646" width="9.28515625" style="288" customWidth="1"/>
    <col min="5647" max="5652" width="0" style="288" hidden="1" customWidth="1"/>
    <col min="5653" max="5653" width="9.28515625" style="288" customWidth="1"/>
    <col min="5654" max="5655" width="0" style="288" hidden="1" customWidth="1"/>
    <col min="5656" max="5657" width="9.28515625" style="288" customWidth="1"/>
    <col min="5658" max="5658" width="11.42578125" style="288"/>
    <col min="5659" max="5660" width="16.42578125" style="288" customWidth="1"/>
    <col min="5661" max="5889" width="11.42578125" style="288"/>
    <col min="5890" max="5890" width="16.28515625" style="288" customWidth="1"/>
    <col min="5891" max="5891" width="14.85546875" style="288" customWidth="1"/>
    <col min="5892" max="5893" width="11.42578125" style="288"/>
    <col min="5894" max="5902" width="9.28515625" style="288" customWidth="1"/>
    <col min="5903" max="5908" width="0" style="288" hidden="1" customWidth="1"/>
    <col min="5909" max="5909" width="9.28515625" style="288" customWidth="1"/>
    <col min="5910" max="5911" width="0" style="288" hidden="1" customWidth="1"/>
    <col min="5912" max="5913" width="9.28515625" style="288" customWidth="1"/>
    <col min="5914" max="5914" width="11.42578125" style="288"/>
    <col min="5915" max="5916" width="16.42578125" style="288" customWidth="1"/>
    <col min="5917" max="6145" width="11.42578125" style="288"/>
    <col min="6146" max="6146" width="16.28515625" style="288" customWidth="1"/>
    <col min="6147" max="6147" width="14.85546875" style="288" customWidth="1"/>
    <col min="6148" max="6149" width="11.42578125" style="288"/>
    <col min="6150" max="6158" width="9.28515625" style="288" customWidth="1"/>
    <col min="6159" max="6164" width="0" style="288" hidden="1" customWidth="1"/>
    <col min="6165" max="6165" width="9.28515625" style="288" customWidth="1"/>
    <col min="6166" max="6167" width="0" style="288" hidden="1" customWidth="1"/>
    <col min="6168" max="6169" width="9.28515625" style="288" customWidth="1"/>
    <col min="6170" max="6170" width="11.42578125" style="288"/>
    <col min="6171" max="6172" width="16.42578125" style="288" customWidth="1"/>
    <col min="6173" max="6401" width="11.42578125" style="288"/>
    <col min="6402" max="6402" width="16.28515625" style="288" customWidth="1"/>
    <col min="6403" max="6403" width="14.85546875" style="288" customWidth="1"/>
    <col min="6404" max="6405" width="11.42578125" style="288"/>
    <col min="6406" max="6414" width="9.28515625" style="288" customWidth="1"/>
    <col min="6415" max="6420" width="0" style="288" hidden="1" customWidth="1"/>
    <col min="6421" max="6421" width="9.28515625" style="288" customWidth="1"/>
    <col min="6422" max="6423" width="0" style="288" hidden="1" customWidth="1"/>
    <col min="6424" max="6425" width="9.28515625" style="288" customWidth="1"/>
    <col min="6426" max="6426" width="11.42578125" style="288"/>
    <col min="6427" max="6428" width="16.42578125" style="288" customWidth="1"/>
    <col min="6429" max="6657" width="11.42578125" style="288"/>
    <col min="6658" max="6658" width="16.28515625" style="288" customWidth="1"/>
    <col min="6659" max="6659" width="14.85546875" style="288" customWidth="1"/>
    <col min="6660" max="6661" width="11.42578125" style="288"/>
    <col min="6662" max="6670" width="9.28515625" style="288" customWidth="1"/>
    <col min="6671" max="6676" width="0" style="288" hidden="1" customWidth="1"/>
    <col min="6677" max="6677" width="9.28515625" style="288" customWidth="1"/>
    <col min="6678" max="6679" width="0" style="288" hidden="1" customWidth="1"/>
    <col min="6680" max="6681" width="9.28515625" style="288" customWidth="1"/>
    <col min="6682" max="6682" width="11.42578125" style="288"/>
    <col min="6683" max="6684" width="16.42578125" style="288" customWidth="1"/>
    <col min="6685" max="6913" width="11.42578125" style="288"/>
    <col min="6914" max="6914" width="16.28515625" style="288" customWidth="1"/>
    <col min="6915" max="6915" width="14.85546875" style="288" customWidth="1"/>
    <col min="6916" max="6917" width="11.42578125" style="288"/>
    <col min="6918" max="6926" width="9.28515625" style="288" customWidth="1"/>
    <col min="6927" max="6932" width="0" style="288" hidden="1" customWidth="1"/>
    <col min="6933" max="6933" width="9.28515625" style="288" customWidth="1"/>
    <col min="6934" max="6935" width="0" style="288" hidden="1" customWidth="1"/>
    <col min="6936" max="6937" width="9.28515625" style="288" customWidth="1"/>
    <col min="6938" max="6938" width="11.42578125" style="288"/>
    <col min="6939" max="6940" width="16.42578125" style="288" customWidth="1"/>
    <col min="6941" max="7169" width="11.42578125" style="288"/>
    <col min="7170" max="7170" width="16.28515625" style="288" customWidth="1"/>
    <col min="7171" max="7171" width="14.85546875" style="288" customWidth="1"/>
    <col min="7172" max="7173" width="11.42578125" style="288"/>
    <col min="7174" max="7182" width="9.28515625" style="288" customWidth="1"/>
    <col min="7183" max="7188" width="0" style="288" hidden="1" customWidth="1"/>
    <col min="7189" max="7189" width="9.28515625" style="288" customWidth="1"/>
    <col min="7190" max="7191" width="0" style="288" hidden="1" customWidth="1"/>
    <col min="7192" max="7193" width="9.28515625" style="288" customWidth="1"/>
    <col min="7194" max="7194" width="11.42578125" style="288"/>
    <col min="7195" max="7196" width="16.42578125" style="288" customWidth="1"/>
    <col min="7197" max="7425" width="11.42578125" style="288"/>
    <col min="7426" max="7426" width="16.28515625" style="288" customWidth="1"/>
    <col min="7427" max="7427" width="14.85546875" style="288" customWidth="1"/>
    <col min="7428" max="7429" width="11.42578125" style="288"/>
    <col min="7430" max="7438" width="9.28515625" style="288" customWidth="1"/>
    <col min="7439" max="7444" width="0" style="288" hidden="1" customWidth="1"/>
    <col min="7445" max="7445" width="9.28515625" style="288" customWidth="1"/>
    <col min="7446" max="7447" width="0" style="288" hidden="1" customWidth="1"/>
    <col min="7448" max="7449" width="9.28515625" style="288" customWidth="1"/>
    <col min="7450" max="7450" width="11.42578125" style="288"/>
    <col min="7451" max="7452" width="16.42578125" style="288" customWidth="1"/>
    <col min="7453" max="7681" width="11.42578125" style="288"/>
    <col min="7682" max="7682" width="16.28515625" style="288" customWidth="1"/>
    <col min="7683" max="7683" width="14.85546875" style="288" customWidth="1"/>
    <col min="7684" max="7685" width="11.42578125" style="288"/>
    <col min="7686" max="7694" width="9.28515625" style="288" customWidth="1"/>
    <col min="7695" max="7700" width="0" style="288" hidden="1" customWidth="1"/>
    <col min="7701" max="7701" width="9.28515625" style="288" customWidth="1"/>
    <col min="7702" max="7703" width="0" style="288" hidden="1" customWidth="1"/>
    <col min="7704" max="7705" width="9.28515625" style="288" customWidth="1"/>
    <col min="7706" max="7706" width="11.42578125" style="288"/>
    <col min="7707" max="7708" width="16.42578125" style="288" customWidth="1"/>
    <col min="7709" max="7937" width="11.42578125" style="288"/>
    <col min="7938" max="7938" width="16.28515625" style="288" customWidth="1"/>
    <col min="7939" max="7939" width="14.85546875" style="288" customWidth="1"/>
    <col min="7940" max="7941" width="11.42578125" style="288"/>
    <col min="7942" max="7950" width="9.28515625" style="288" customWidth="1"/>
    <col min="7951" max="7956" width="0" style="288" hidden="1" customWidth="1"/>
    <col min="7957" max="7957" width="9.28515625" style="288" customWidth="1"/>
    <col min="7958" max="7959" width="0" style="288" hidden="1" customWidth="1"/>
    <col min="7960" max="7961" width="9.28515625" style="288" customWidth="1"/>
    <col min="7962" max="7962" width="11.42578125" style="288"/>
    <col min="7963" max="7964" width="16.42578125" style="288" customWidth="1"/>
    <col min="7965" max="8193" width="11.42578125" style="288"/>
    <col min="8194" max="8194" width="16.28515625" style="288" customWidth="1"/>
    <col min="8195" max="8195" width="14.85546875" style="288" customWidth="1"/>
    <col min="8196" max="8197" width="11.42578125" style="288"/>
    <col min="8198" max="8206" width="9.28515625" style="288" customWidth="1"/>
    <col min="8207" max="8212" width="0" style="288" hidden="1" customWidth="1"/>
    <col min="8213" max="8213" width="9.28515625" style="288" customWidth="1"/>
    <col min="8214" max="8215" width="0" style="288" hidden="1" customWidth="1"/>
    <col min="8216" max="8217" width="9.28515625" style="288" customWidth="1"/>
    <col min="8218" max="8218" width="11.42578125" style="288"/>
    <col min="8219" max="8220" width="16.42578125" style="288" customWidth="1"/>
    <col min="8221" max="8449" width="11.42578125" style="288"/>
    <col min="8450" max="8450" width="16.28515625" style="288" customWidth="1"/>
    <col min="8451" max="8451" width="14.85546875" style="288" customWidth="1"/>
    <col min="8452" max="8453" width="11.42578125" style="288"/>
    <col min="8454" max="8462" width="9.28515625" style="288" customWidth="1"/>
    <col min="8463" max="8468" width="0" style="288" hidden="1" customWidth="1"/>
    <col min="8469" max="8469" width="9.28515625" style="288" customWidth="1"/>
    <col min="8470" max="8471" width="0" style="288" hidden="1" customWidth="1"/>
    <col min="8472" max="8473" width="9.28515625" style="288" customWidth="1"/>
    <col min="8474" max="8474" width="11.42578125" style="288"/>
    <col min="8475" max="8476" width="16.42578125" style="288" customWidth="1"/>
    <col min="8477" max="8705" width="11.42578125" style="288"/>
    <col min="8706" max="8706" width="16.28515625" style="288" customWidth="1"/>
    <col min="8707" max="8707" width="14.85546875" style="288" customWidth="1"/>
    <col min="8708" max="8709" width="11.42578125" style="288"/>
    <col min="8710" max="8718" width="9.28515625" style="288" customWidth="1"/>
    <col min="8719" max="8724" width="0" style="288" hidden="1" customWidth="1"/>
    <col min="8725" max="8725" width="9.28515625" style="288" customWidth="1"/>
    <col min="8726" max="8727" width="0" style="288" hidden="1" customWidth="1"/>
    <col min="8728" max="8729" width="9.28515625" style="288" customWidth="1"/>
    <col min="8730" max="8730" width="11.42578125" style="288"/>
    <col min="8731" max="8732" width="16.42578125" style="288" customWidth="1"/>
    <col min="8733" max="8961" width="11.42578125" style="288"/>
    <col min="8962" max="8962" width="16.28515625" style="288" customWidth="1"/>
    <col min="8963" max="8963" width="14.85546875" style="288" customWidth="1"/>
    <col min="8964" max="8965" width="11.42578125" style="288"/>
    <col min="8966" max="8974" width="9.28515625" style="288" customWidth="1"/>
    <col min="8975" max="8980" width="0" style="288" hidden="1" customWidth="1"/>
    <col min="8981" max="8981" width="9.28515625" style="288" customWidth="1"/>
    <col min="8982" max="8983" width="0" style="288" hidden="1" customWidth="1"/>
    <col min="8984" max="8985" width="9.28515625" style="288" customWidth="1"/>
    <col min="8986" max="8986" width="11.42578125" style="288"/>
    <col min="8987" max="8988" width="16.42578125" style="288" customWidth="1"/>
    <col min="8989" max="9217" width="11.42578125" style="288"/>
    <col min="9218" max="9218" width="16.28515625" style="288" customWidth="1"/>
    <col min="9219" max="9219" width="14.85546875" style="288" customWidth="1"/>
    <col min="9220" max="9221" width="11.42578125" style="288"/>
    <col min="9222" max="9230" width="9.28515625" style="288" customWidth="1"/>
    <col min="9231" max="9236" width="0" style="288" hidden="1" customWidth="1"/>
    <col min="9237" max="9237" width="9.28515625" style="288" customWidth="1"/>
    <col min="9238" max="9239" width="0" style="288" hidden="1" customWidth="1"/>
    <col min="9240" max="9241" width="9.28515625" style="288" customWidth="1"/>
    <col min="9242" max="9242" width="11.42578125" style="288"/>
    <col min="9243" max="9244" width="16.42578125" style="288" customWidth="1"/>
    <col min="9245" max="9473" width="11.42578125" style="288"/>
    <col min="9474" max="9474" width="16.28515625" style="288" customWidth="1"/>
    <col min="9475" max="9475" width="14.85546875" style="288" customWidth="1"/>
    <col min="9476" max="9477" width="11.42578125" style="288"/>
    <col min="9478" max="9486" width="9.28515625" style="288" customWidth="1"/>
    <col min="9487" max="9492" width="0" style="288" hidden="1" customWidth="1"/>
    <col min="9493" max="9493" width="9.28515625" style="288" customWidth="1"/>
    <col min="9494" max="9495" width="0" style="288" hidden="1" customWidth="1"/>
    <col min="9496" max="9497" width="9.28515625" style="288" customWidth="1"/>
    <col min="9498" max="9498" width="11.42578125" style="288"/>
    <col min="9499" max="9500" width="16.42578125" style="288" customWidth="1"/>
    <col min="9501" max="9729" width="11.42578125" style="288"/>
    <col min="9730" max="9730" width="16.28515625" style="288" customWidth="1"/>
    <col min="9731" max="9731" width="14.85546875" style="288" customWidth="1"/>
    <col min="9732" max="9733" width="11.42578125" style="288"/>
    <col min="9734" max="9742" width="9.28515625" style="288" customWidth="1"/>
    <col min="9743" max="9748" width="0" style="288" hidden="1" customWidth="1"/>
    <col min="9749" max="9749" width="9.28515625" style="288" customWidth="1"/>
    <col min="9750" max="9751" width="0" style="288" hidden="1" customWidth="1"/>
    <col min="9752" max="9753" width="9.28515625" style="288" customWidth="1"/>
    <col min="9754" max="9754" width="11.42578125" style="288"/>
    <col min="9755" max="9756" width="16.42578125" style="288" customWidth="1"/>
    <col min="9757" max="9985" width="11.42578125" style="288"/>
    <col min="9986" max="9986" width="16.28515625" style="288" customWidth="1"/>
    <col min="9987" max="9987" width="14.85546875" style="288" customWidth="1"/>
    <col min="9988" max="9989" width="11.42578125" style="288"/>
    <col min="9990" max="9998" width="9.28515625" style="288" customWidth="1"/>
    <col min="9999" max="10004" width="0" style="288" hidden="1" customWidth="1"/>
    <col min="10005" max="10005" width="9.28515625" style="288" customWidth="1"/>
    <col min="10006" max="10007" width="0" style="288" hidden="1" customWidth="1"/>
    <col min="10008" max="10009" width="9.28515625" style="288" customWidth="1"/>
    <col min="10010" max="10010" width="11.42578125" style="288"/>
    <col min="10011" max="10012" width="16.42578125" style="288" customWidth="1"/>
    <col min="10013" max="10241" width="11.42578125" style="288"/>
    <col min="10242" max="10242" width="16.28515625" style="288" customWidth="1"/>
    <col min="10243" max="10243" width="14.85546875" style="288" customWidth="1"/>
    <col min="10244" max="10245" width="11.42578125" style="288"/>
    <col min="10246" max="10254" width="9.28515625" style="288" customWidth="1"/>
    <col min="10255" max="10260" width="0" style="288" hidden="1" customWidth="1"/>
    <col min="10261" max="10261" width="9.28515625" style="288" customWidth="1"/>
    <col min="10262" max="10263" width="0" style="288" hidden="1" customWidth="1"/>
    <col min="10264" max="10265" width="9.28515625" style="288" customWidth="1"/>
    <col min="10266" max="10266" width="11.42578125" style="288"/>
    <col min="10267" max="10268" width="16.42578125" style="288" customWidth="1"/>
    <col min="10269" max="10497" width="11.42578125" style="288"/>
    <col min="10498" max="10498" width="16.28515625" style="288" customWidth="1"/>
    <col min="10499" max="10499" width="14.85546875" style="288" customWidth="1"/>
    <col min="10500" max="10501" width="11.42578125" style="288"/>
    <col min="10502" max="10510" width="9.28515625" style="288" customWidth="1"/>
    <col min="10511" max="10516" width="0" style="288" hidden="1" customWidth="1"/>
    <col min="10517" max="10517" width="9.28515625" style="288" customWidth="1"/>
    <col min="10518" max="10519" width="0" style="288" hidden="1" customWidth="1"/>
    <col min="10520" max="10521" width="9.28515625" style="288" customWidth="1"/>
    <col min="10522" max="10522" width="11.42578125" style="288"/>
    <col min="10523" max="10524" width="16.42578125" style="288" customWidth="1"/>
    <col min="10525" max="10753" width="11.42578125" style="288"/>
    <col min="10754" max="10754" width="16.28515625" style="288" customWidth="1"/>
    <col min="10755" max="10755" width="14.85546875" style="288" customWidth="1"/>
    <col min="10756" max="10757" width="11.42578125" style="288"/>
    <col min="10758" max="10766" width="9.28515625" style="288" customWidth="1"/>
    <col min="10767" max="10772" width="0" style="288" hidden="1" customWidth="1"/>
    <col min="10773" max="10773" width="9.28515625" style="288" customWidth="1"/>
    <col min="10774" max="10775" width="0" style="288" hidden="1" customWidth="1"/>
    <col min="10776" max="10777" width="9.28515625" style="288" customWidth="1"/>
    <col min="10778" max="10778" width="11.42578125" style="288"/>
    <col min="10779" max="10780" width="16.42578125" style="288" customWidth="1"/>
    <col min="10781" max="11009" width="11.42578125" style="288"/>
    <col min="11010" max="11010" width="16.28515625" style="288" customWidth="1"/>
    <col min="11011" max="11011" width="14.85546875" style="288" customWidth="1"/>
    <col min="11012" max="11013" width="11.42578125" style="288"/>
    <col min="11014" max="11022" width="9.28515625" style="288" customWidth="1"/>
    <col min="11023" max="11028" width="0" style="288" hidden="1" customWidth="1"/>
    <col min="11029" max="11029" width="9.28515625" style="288" customWidth="1"/>
    <col min="11030" max="11031" width="0" style="288" hidden="1" customWidth="1"/>
    <col min="11032" max="11033" width="9.28515625" style="288" customWidth="1"/>
    <col min="11034" max="11034" width="11.42578125" style="288"/>
    <col min="11035" max="11036" width="16.42578125" style="288" customWidth="1"/>
    <col min="11037" max="11265" width="11.42578125" style="288"/>
    <col min="11266" max="11266" width="16.28515625" style="288" customWidth="1"/>
    <col min="11267" max="11267" width="14.85546875" style="288" customWidth="1"/>
    <col min="11268" max="11269" width="11.42578125" style="288"/>
    <col min="11270" max="11278" width="9.28515625" style="288" customWidth="1"/>
    <col min="11279" max="11284" width="0" style="288" hidden="1" customWidth="1"/>
    <col min="11285" max="11285" width="9.28515625" style="288" customWidth="1"/>
    <col min="11286" max="11287" width="0" style="288" hidden="1" customWidth="1"/>
    <col min="11288" max="11289" width="9.28515625" style="288" customWidth="1"/>
    <col min="11290" max="11290" width="11.42578125" style="288"/>
    <col min="11291" max="11292" width="16.42578125" style="288" customWidth="1"/>
    <col min="11293" max="11521" width="11.42578125" style="288"/>
    <col min="11522" max="11522" width="16.28515625" style="288" customWidth="1"/>
    <col min="11523" max="11523" width="14.85546875" style="288" customWidth="1"/>
    <col min="11524" max="11525" width="11.42578125" style="288"/>
    <col min="11526" max="11534" width="9.28515625" style="288" customWidth="1"/>
    <col min="11535" max="11540" width="0" style="288" hidden="1" customWidth="1"/>
    <col min="11541" max="11541" width="9.28515625" style="288" customWidth="1"/>
    <col min="11542" max="11543" width="0" style="288" hidden="1" customWidth="1"/>
    <col min="11544" max="11545" width="9.28515625" style="288" customWidth="1"/>
    <col min="11546" max="11546" width="11.42578125" style="288"/>
    <col min="11547" max="11548" width="16.42578125" style="288" customWidth="1"/>
    <col min="11549" max="11777" width="11.42578125" style="288"/>
    <col min="11778" max="11778" width="16.28515625" style="288" customWidth="1"/>
    <col min="11779" max="11779" width="14.85546875" style="288" customWidth="1"/>
    <col min="11780" max="11781" width="11.42578125" style="288"/>
    <col min="11782" max="11790" width="9.28515625" style="288" customWidth="1"/>
    <col min="11791" max="11796" width="0" style="288" hidden="1" customWidth="1"/>
    <col min="11797" max="11797" width="9.28515625" style="288" customWidth="1"/>
    <col min="11798" max="11799" width="0" style="288" hidden="1" customWidth="1"/>
    <col min="11800" max="11801" width="9.28515625" style="288" customWidth="1"/>
    <col min="11802" max="11802" width="11.42578125" style="288"/>
    <col min="11803" max="11804" width="16.42578125" style="288" customWidth="1"/>
    <col min="11805" max="12033" width="11.42578125" style="288"/>
    <col min="12034" max="12034" width="16.28515625" style="288" customWidth="1"/>
    <col min="12035" max="12035" width="14.85546875" style="288" customWidth="1"/>
    <col min="12036" max="12037" width="11.42578125" style="288"/>
    <col min="12038" max="12046" width="9.28515625" style="288" customWidth="1"/>
    <col min="12047" max="12052" width="0" style="288" hidden="1" customWidth="1"/>
    <col min="12053" max="12053" width="9.28515625" style="288" customWidth="1"/>
    <col min="12054" max="12055" width="0" style="288" hidden="1" customWidth="1"/>
    <col min="12056" max="12057" width="9.28515625" style="288" customWidth="1"/>
    <col min="12058" max="12058" width="11.42578125" style="288"/>
    <col min="12059" max="12060" width="16.42578125" style="288" customWidth="1"/>
    <col min="12061" max="12289" width="11.42578125" style="288"/>
    <col min="12290" max="12290" width="16.28515625" style="288" customWidth="1"/>
    <col min="12291" max="12291" width="14.85546875" style="288" customWidth="1"/>
    <col min="12292" max="12293" width="11.42578125" style="288"/>
    <col min="12294" max="12302" width="9.28515625" style="288" customWidth="1"/>
    <col min="12303" max="12308" width="0" style="288" hidden="1" customWidth="1"/>
    <col min="12309" max="12309" width="9.28515625" style="288" customWidth="1"/>
    <col min="12310" max="12311" width="0" style="288" hidden="1" customWidth="1"/>
    <col min="12312" max="12313" width="9.28515625" style="288" customWidth="1"/>
    <col min="12314" max="12314" width="11.42578125" style="288"/>
    <col min="12315" max="12316" width="16.42578125" style="288" customWidth="1"/>
    <col min="12317" max="12545" width="11.42578125" style="288"/>
    <col min="12546" max="12546" width="16.28515625" style="288" customWidth="1"/>
    <col min="12547" max="12547" width="14.85546875" style="288" customWidth="1"/>
    <col min="12548" max="12549" width="11.42578125" style="288"/>
    <col min="12550" max="12558" width="9.28515625" style="288" customWidth="1"/>
    <col min="12559" max="12564" width="0" style="288" hidden="1" customWidth="1"/>
    <col min="12565" max="12565" width="9.28515625" style="288" customWidth="1"/>
    <col min="12566" max="12567" width="0" style="288" hidden="1" customWidth="1"/>
    <col min="12568" max="12569" width="9.28515625" style="288" customWidth="1"/>
    <col min="12570" max="12570" width="11.42578125" style="288"/>
    <col min="12571" max="12572" width="16.42578125" style="288" customWidth="1"/>
    <col min="12573" max="12801" width="11.42578125" style="288"/>
    <col min="12802" max="12802" width="16.28515625" style="288" customWidth="1"/>
    <col min="12803" max="12803" width="14.85546875" style="288" customWidth="1"/>
    <col min="12804" max="12805" width="11.42578125" style="288"/>
    <col min="12806" max="12814" width="9.28515625" style="288" customWidth="1"/>
    <col min="12815" max="12820" width="0" style="288" hidden="1" customWidth="1"/>
    <col min="12821" max="12821" width="9.28515625" style="288" customWidth="1"/>
    <col min="12822" max="12823" width="0" style="288" hidden="1" customWidth="1"/>
    <col min="12824" max="12825" width="9.28515625" style="288" customWidth="1"/>
    <col min="12826" max="12826" width="11.42578125" style="288"/>
    <col min="12827" max="12828" width="16.42578125" style="288" customWidth="1"/>
    <col min="12829" max="13057" width="11.42578125" style="288"/>
    <col min="13058" max="13058" width="16.28515625" style="288" customWidth="1"/>
    <col min="13059" max="13059" width="14.85546875" style="288" customWidth="1"/>
    <col min="13060" max="13061" width="11.42578125" style="288"/>
    <col min="13062" max="13070" width="9.28515625" style="288" customWidth="1"/>
    <col min="13071" max="13076" width="0" style="288" hidden="1" customWidth="1"/>
    <col min="13077" max="13077" width="9.28515625" style="288" customWidth="1"/>
    <col min="13078" max="13079" width="0" style="288" hidden="1" customWidth="1"/>
    <col min="13080" max="13081" width="9.28515625" style="288" customWidth="1"/>
    <col min="13082" max="13082" width="11.42578125" style="288"/>
    <col min="13083" max="13084" width="16.42578125" style="288" customWidth="1"/>
    <col min="13085" max="13313" width="11.42578125" style="288"/>
    <col min="13314" max="13314" width="16.28515625" style="288" customWidth="1"/>
    <col min="13315" max="13315" width="14.85546875" style="288" customWidth="1"/>
    <col min="13316" max="13317" width="11.42578125" style="288"/>
    <col min="13318" max="13326" width="9.28515625" style="288" customWidth="1"/>
    <col min="13327" max="13332" width="0" style="288" hidden="1" customWidth="1"/>
    <col min="13333" max="13333" width="9.28515625" style="288" customWidth="1"/>
    <col min="13334" max="13335" width="0" style="288" hidden="1" customWidth="1"/>
    <col min="13336" max="13337" width="9.28515625" style="288" customWidth="1"/>
    <col min="13338" max="13338" width="11.42578125" style="288"/>
    <col min="13339" max="13340" width="16.42578125" style="288" customWidth="1"/>
    <col min="13341" max="13569" width="11.42578125" style="288"/>
    <col min="13570" max="13570" width="16.28515625" style="288" customWidth="1"/>
    <col min="13571" max="13571" width="14.85546875" style="288" customWidth="1"/>
    <col min="13572" max="13573" width="11.42578125" style="288"/>
    <col min="13574" max="13582" width="9.28515625" style="288" customWidth="1"/>
    <col min="13583" max="13588" width="0" style="288" hidden="1" customWidth="1"/>
    <col min="13589" max="13589" width="9.28515625" style="288" customWidth="1"/>
    <col min="13590" max="13591" width="0" style="288" hidden="1" customWidth="1"/>
    <col min="13592" max="13593" width="9.28515625" style="288" customWidth="1"/>
    <col min="13594" max="13594" width="11.42578125" style="288"/>
    <col min="13595" max="13596" width="16.42578125" style="288" customWidth="1"/>
    <col min="13597" max="13825" width="11.42578125" style="288"/>
    <col min="13826" max="13826" width="16.28515625" style="288" customWidth="1"/>
    <col min="13827" max="13827" width="14.85546875" style="288" customWidth="1"/>
    <col min="13828" max="13829" width="11.42578125" style="288"/>
    <col min="13830" max="13838" width="9.28515625" style="288" customWidth="1"/>
    <col min="13839" max="13844" width="0" style="288" hidden="1" customWidth="1"/>
    <col min="13845" max="13845" width="9.28515625" style="288" customWidth="1"/>
    <col min="13846" max="13847" width="0" style="288" hidden="1" customWidth="1"/>
    <col min="13848" max="13849" width="9.28515625" style="288" customWidth="1"/>
    <col min="13850" max="13850" width="11.42578125" style="288"/>
    <col min="13851" max="13852" width="16.42578125" style="288" customWidth="1"/>
    <col min="13853" max="14081" width="11.42578125" style="288"/>
    <col min="14082" max="14082" width="16.28515625" style="288" customWidth="1"/>
    <col min="14083" max="14083" width="14.85546875" style="288" customWidth="1"/>
    <col min="14084" max="14085" width="11.42578125" style="288"/>
    <col min="14086" max="14094" width="9.28515625" style="288" customWidth="1"/>
    <col min="14095" max="14100" width="0" style="288" hidden="1" customWidth="1"/>
    <col min="14101" max="14101" width="9.28515625" style="288" customWidth="1"/>
    <col min="14102" max="14103" width="0" style="288" hidden="1" customWidth="1"/>
    <col min="14104" max="14105" width="9.28515625" style="288" customWidth="1"/>
    <col min="14106" max="14106" width="11.42578125" style="288"/>
    <col min="14107" max="14108" width="16.42578125" style="288" customWidth="1"/>
    <col min="14109" max="14337" width="11.42578125" style="288"/>
    <col min="14338" max="14338" width="16.28515625" style="288" customWidth="1"/>
    <col min="14339" max="14339" width="14.85546875" style="288" customWidth="1"/>
    <col min="14340" max="14341" width="11.42578125" style="288"/>
    <col min="14342" max="14350" width="9.28515625" style="288" customWidth="1"/>
    <col min="14351" max="14356" width="0" style="288" hidden="1" customWidth="1"/>
    <col min="14357" max="14357" width="9.28515625" style="288" customWidth="1"/>
    <col min="14358" max="14359" width="0" style="288" hidden="1" customWidth="1"/>
    <col min="14360" max="14361" width="9.28515625" style="288" customWidth="1"/>
    <col min="14362" max="14362" width="11.42578125" style="288"/>
    <col min="14363" max="14364" width="16.42578125" style="288" customWidth="1"/>
    <col min="14365" max="14593" width="11.42578125" style="288"/>
    <col min="14594" max="14594" width="16.28515625" style="288" customWidth="1"/>
    <col min="14595" max="14595" width="14.85546875" style="288" customWidth="1"/>
    <col min="14596" max="14597" width="11.42578125" style="288"/>
    <col min="14598" max="14606" width="9.28515625" style="288" customWidth="1"/>
    <col min="14607" max="14612" width="0" style="288" hidden="1" customWidth="1"/>
    <col min="14613" max="14613" width="9.28515625" style="288" customWidth="1"/>
    <col min="14614" max="14615" width="0" style="288" hidden="1" customWidth="1"/>
    <col min="14616" max="14617" width="9.28515625" style="288" customWidth="1"/>
    <col min="14618" max="14618" width="11.42578125" style="288"/>
    <col min="14619" max="14620" width="16.42578125" style="288" customWidth="1"/>
    <col min="14621" max="14849" width="11.42578125" style="288"/>
    <col min="14850" max="14850" width="16.28515625" style="288" customWidth="1"/>
    <col min="14851" max="14851" width="14.85546875" style="288" customWidth="1"/>
    <col min="14852" max="14853" width="11.42578125" style="288"/>
    <col min="14854" max="14862" width="9.28515625" style="288" customWidth="1"/>
    <col min="14863" max="14868" width="0" style="288" hidden="1" customWidth="1"/>
    <col min="14869" max="14869" width="9.28515625" style="288" customWidth="1"/>
    <col min="14870" max="14871" width="0" style="288" hidden="1" customWidth="1"/>
    <col min="14872" max="14873" width="9.28515625" style="288" customWidth="1"/>
    <col min="14874" max="14874" width="11.42578125" style="288"/>
    <col min="14875" max="14876" width="16.42578125" style="288" customWidth="1"/>
    <col min="14877" max="15105" width="11.42578125" style="288"/>
    <col min="15106" max="15106" width="16.28515625" style="288" customWidth="1"/>
    <col min="15107" max="15107" width="14.85546875" style="288" customWidth="1"/>
    <col min="15108" max="15109" width="11.42578125" style="288"/>
    <col min="15110" max="15118" width="9.28515625" style="288" customWidth="1"/>
    <col min="15119" max="15124" width="0" style="288" hidden="1" customWidth="1"/>
    <col min="15125" max="15125" width="9.28515625" style="288" customWidth="1"/>
    <col min="15126" max="15127" width="0" style="288" hidden="1" customWidth="1"/>
    <col min="15128" max="15129" width="9.28515625" style="288" customWidth="1"/>
    <col min="15130" max="15130" width="11.42578125" style="288"/>
    <col min="15131" max="15132" width="16.42578125" style="288" customWidth="1"/>
    <col min="15133" max="15361" width="11.42578125" style="288"/>
    <col min="15362" max="15362" width="16.28515625" style="288" customWidth="1"/>
    <col min="15363" max="15363" width="14.85546875" style="288" customWidth="1"/>
    <col min="15364" max="15365" width="11.42578125" style="288"/>
    <col min="15366" max="15374" width="9.28515625" style="288" customWidth="1"/>
    <col min="15375" max="15380" width="0" style="288" hidden="1" customWidth="1"/>
    <col min="15381" max="15381" width="9.28515625" style="288" customWidth="1"/>
    <col min="15382" max="15383" width="0" style="288" hidden="1" customWidth="1"/>
    <col min="15384" max="15385" width="9.28515625" style="288" customWidth="1"/>
    <col min="15386" max="15386" width="11.42578125" style="288"/>
    <col min="15387" max="15388" width="16.42578125" style="288" customWidth="1"/>
    <col min="15389" max="15617" width="11.42578125" style="288"/>
    <col min="15618" max="15618" width="16.28515625" style="288" customWidth="1"/>
    <col min="15619" max="15619" width="14.85546875" style="288" customWidth="1"/>
    <col min="15620" max="15621" width="11.42578125" style="288"/>
    <col min="15622" max="15630" width="9.28515625" style="288" customWidth="1"/>
    <col min="15631" max="15636" width="0" style="288" hidden="1" customWidth="1"/>
    <col min="15637" max="15637" width="9.28515625" style="288" customWidth="1"/>
    <col min="15638" max="15639" width="0" style="288" hidden="1" customWidth="1"/>
    <col min="15640" max="15641" width="9.28515625" style="288" customWidth="1"/>
    <col min="15642" max="15642" width="11.42578125" style="288"/>
    <col min="15643" max="15644" width="16.42578125" style="288" customWidth="1"/>
    <col min="15645" max="15873" width="11.42578125" style="288"/>
    <col min="15874" max="15874" width="16.28515625" style="288" customWidth="1"/>
    <col min="15875" max="15875" width="14.85546875" style="288" customWidth="1"/>
    <col min="15876" max="15877" width="11.42578125" style="288"/>
    <col min="15878" max="15886" width="9.28515625" style="288" customWidth="1"/>
    <col min="15887" max="15892" width="0" style="288" hidden="1" customWidth="1"/>
    <col min="15893" max="15893" width="9.28515625" style="288" customWidth="1"/>
    <col min="15894" max="15895" width="0" style="288" hidden="1" customWidth="1"/>
    <col min="15896" max="15897" width="9.28515625" style="288" customWidth="1"/>
    <col min="15898" max="15898" width="11.42578125" style="288"/>
    <col min="15899" max="15900" width="16.42578125" style="288" customWidth="1"/>
    <col min="15901" max="16129" width="11.42578125" style="288"/>
    <col min="16130" max="16130" width="16.28515625" style="288" customWidth="1"/>
    <col min="16131" max="16131" width="14.85546875" style="288" customWidth="1"/>
    <col min="16132" max="16133" width="11.42578125" style="288"/>
    <col min="16134" max="16142" width="9.28515625" style="288" customWidth="1"/>
    <col min="16143" max="16148" width="0" style="288" hidden="1" customWidth="1"/>
    <col min="16149" max="16149" width="9.28515625" style="288" customWidth="1"/>
    <col min="16150" max="16151" width="0" style="288" hidden="1" customWidth="1"/>
    <col min="16152" max="16153" width="9.28515625" style="288" customWidth="1"/>
    <col min="16154" max="16154" width="11.42578125" style="288"/>
    <col min="16155" max="16156" width="16.42578125" style="288" customWidth="1"/>
    <col min="16157" max="16384" width="11.42578125" style="288"/>
  </cols>
  <sheetData>
    <row r="1" spans="1:31" ht="16.5" thickBot="1">
      <c r="B1" s="22" t="str">
        <f>RESUM!G8</f>
        <v>MAC QT 160 P</v>
      </c>
      <c r="C1" s="22"/>
      <c r="E1" s="290" t="s">
        <v>185</v>
      </c>
      <c r="P1" s="291">
        <f>P6/O6</f>
        <v>3.5310023115308375</v>
      </c>
      <c r="S1" s="291">
        <f>S6/R6</f>
        <v>3.5310023115308371</v>
      </c>
      <c r="AA1" s="296" t="s">
        <v>186</v>
      </c>
      <c r="AD1" s="702"/>
      <c r="AE1" s="702"/>
    </row>
    <row r="2" spans="1:31" ht="15.75">
      <c r="B2" s="357" t="str">
        <f>RESUM!G9</f>
        <v>F41</v>
      </c>
      <c r="C2" s="25"/>
      <c r="E2" s="298" t="s">
        <v>187</v>
      </c>
      <c r="F2" s="291" t="s">
        <v>188</v>
      </c>
      <c r="G2" s="291" t="s">
        <v>189</v>
      </c>
      <c r="H2" s="291" t="s">
        <v>158</v>
      </c>
      <c r="I2" s="291" t="s">
        <v>82</v>
      </c>
      <c r="J2" s="291" t="s">
        <v>190</v>
      </c>
      <c r="K2" s="291" t="s">
        <v>191</v>
      </c>
      <c r="L2" s="291" t="s">
        <v>192</v>
      </c>
      <c r="M2" s="291" t="s">
        <v>193</v>
      </c>
      <c r="N2" s="291" t="s">
        <v>194</v>
      </c>
      <c r="O2" s="299" t="s">
        <v>195</v>
      </c>
      <c r="P2" s="300" t="s">
        <v>196</v>
      </c>
      <c r="Q2" s="301" t="s">
        <v>197</v>
      </c>
      <c r="R2" s="299" t="s">
        <v>198</v>
      </c>
      <c r="S2" s="300" t="s">
        <v>199</v>
      </c>
      <c r="T2" s="301" t="s">
        <v>200</v>
      </c>
      <c r="U2" s="302" t="s">
        <v>160</v>
      </c>
      <c r="V2" s="291" t="s">
        <v>201</v>
      </c>
      <c r="W2" s="291" t="s">
        <v>202</v>
      </c>
      <c r="X2" s="291" t="s">
        <v>203</v>
      </c>
      <c r="Y2" s="291" t="s">
        <v>204</v>
      </c>
      <c r="AA2" s="296" t="s">
        <v>205</v>
      </c>
      <c r="AB2" s="296" t="s">
        <v>206</v>
      </c>
      <c r="AD2" s="297"/>
      <c r="AE2" s="297"/>
    </row>
    <row r="3" spans="1:31" ht="15.75">
      <c r="B3" s="28">
        <f>RESUM!G10</f>
        <v>4</v>
      </c>
      <c r="C3" s="28"/>
      <c r="E3" s="303">
        <f t="shared" ref="E3:E23" si="0">X3/F3</f>
        <v>5.3450848898207779</v>
      </c>
      <c r="F3" s="304">
        <f>$B$9-B27/120*$B$3</f>
        <v>42.1</v>
      </c>
      <c r="G3" s="305">
        <f t="shared" ref="G3:G23" si="1">H3/I3</f>
        <v>7.9176563799823094E-10</v>
      </c>
      <c r="H3" s="306">
        <v>9.9999999999999995E-7</v>
      </c>
      <c r="I3" s="307">
        <f>F3*120/$B3-$H3</f>
        <v>1262.9999989999999</v>
      </c>
      <c r="J3" s="308">
        <f t="shared" ref="J3:J23" si="2">3*(1-G3)/G3*$B$17/1000*M3^2/1000</f>
        <v>2.9110886148674536E-6</v>
      </c>
      <c r="K3" s="307">
        <f t="shared" ref="K3:K23" si="3">J3/I3*1000*30/PI()</f>
        <v>2.20101730737069E-5</v>
      </c>
      <c r="L3" s="306">
        <f>B25</f>
        <v>45.5</v>
      </c>
      <c r="M3" s="307">
        <f t="shared" ref="M3:M23" si="4">U3/$B$17*1000*G3</f>
        <v>4.5486218640779987E-6</v>
      </c>
      <c r="N3" s="307">
        <f t="shared" ref="N3:N23" si="5">(L3^2+M3^2)^0.5</f>
        <v>45.500000000000227</v>
      </c>
      <c r="O3" s="309">
        <f t="shared" ref="O3:P18" si="6">$B$16*L3/1000</f>
        <v>2.0997337069354107</v>
      </c>
      <c r="P3" s="291">
        <f t="shared" si="6"/>
        <v>2.0990977248588909E-7</v>
      </c>
      <c r="Q3" s="310">
        <f t="shared" ref="Q3:Q23" si="7">N3*$B$16/1000</f>
        <v>2.0997337069354214</v>
      </c>
      <c r="R3" s="309">
        <f t="shared" ref="R3:R23" si="8">2*PI()*F3*$B$19*L3/1000</f>
        <v>11.687096551470479</v>
      </c>
      <c r="S3" s="308">
        <f t="shared" ref="S3:S23" si="9">2*PI()*F3*$B$19*M3/1000</f>
        <v>1.168355668167235E-6</v>
      </c>
      <c r="T3" s="310">
        <f t="shared" ref="T3:T23" si="10">2*PI()*F3*$B$19*N3/1000</f>
        <v>11.687096551470537</v>
      </c>
      <c r="U3" s="311">
        <f>$B$21*2*PI()*F3*L3/1000</f>
        <v>213.33118060528781</v>
      </c>
      <c r="V3" s="308">
        <f t="shared" ref="V3:V23" si="11">O3-S3</f>
        <v>2.0997325385797425</v>
      </c>
      <c r="W3" s="308">
        <f t="shared" ref="W3:W23" si="12">P3+R3+U3</f>
        <v>225.01827736666806</v>
      </c>
      <c r="X3" s="312">
        <f t="shared" ref="X3:X23" si="13">(W3^2+V3^2)^0.5</f>
        <v>225.02807386145474</v>
      </c>
      <c r="Y3" s="312">
        <f t="shared" ref="Y3:Y23" si="14">X3*3^0.5</f>
        <v>389.76005705740164</v>
      </c>
      <c r="AA3" s="296">
        <v>0</v>
      </c>
      <c r="AB3" s="296">
        <v>0</v>
      </c>
      <c r="AD3" s="313"/>
      <c r="AE3" s="313"/>
    </row>
    <row r="4" spans="1:31" ht="15.75">
      <c r="A4" s="288" t="s">
        <v>79</v>
      </c>
      <c r="B4" s="30">
        <f>RESUM!G11</f>
        <v>540</v>
      </c>
      <c r="C4" s="30"/>
      <c r="E4" s="303">
        <f t="shared" si="0"/>
        <v>5.4221721915544228</v>
      </c>
      <c r="F4" s="304">
        <f>$F$3+H4/120*$B$3</f>
        <v>42.550000000000004</v>
      </c>
      <c r="G4" s="305">
        <f t="shared" si="1"/>
        <v>1.0688836112976118E-2</v>
      </c>
      <c r="H4" s="306">
        <f>H5/2</f>
        <v>13.5</v>
      </c>
      <c r="I4" s="307">
        <f>I3</f>
        <v>1262.9999989999999</v>
      </c>
      <c r="J4" s="308">
        <f t="shared" si="2"/>
        <v>39.715226313109028</v>
      </c>
      <c r="K4" s="307">
        <f t="shared" si="3"/>
        <v>300.2790778503213</v>
      </c>
      <c r="L4" s="306">
        <f>L3</f>
        <v>45.5</v>
      </c>
      <c r="M4" s="307">
        <f t="shared" si="4"/>
        <v>62.062758058741217</v>
      </c>
      <c r="N4" s="307">
        <f t="shared" si="5"/>
        <v>76.954765530523503</v>
      </c>
      <c r="O4" s="309">
        <f t="shared" si="6"/>
        <v>2.0997337069354107</v>
      </c>
      <c r="P4" s="308">
        <f t="shared" si="6"/>
        <v>2.8640717591498075</v>
      </c>
      <c r="Q4" s="310">
        <f t="shared" si="7"/>
        <v>3.5513080240384944</v>
      </c>
      <c r="R4" s="309">
        <f t="shared" si="8"/>
        <v>11.812018011046767</v>
      </c>
      <c r="S4" s="308">
        <f t="shared" si="9"/>
        <v>16.11178936274921</v>
      </c>
      <c r="T4" s="310">
        <f t="shared" si="10"/>
        <v>19.977825856756581</v>
      </c>
      <c r="U4" s="311">
        <f>$B$21*2*PI()*F4*L4/1000</f>
        <v>215.61144263076002</v>
      </c>
      <c r="V4" s="308">
        <f t="shared" si="11"/>
        <v>-14.0120556558138</v>
      </c>
      <c r="W4" s="308">
        <f t="shared" si="12"/>
        <v>230.28753240095659</v>
      </c>
      <c r="X4" s="312">
        <f t="shared" si="13"/>
        <v>230.71342675064071</v>
      </c>
      <c r="Y4" s="312">
        <f t="shared" si="14"/>
        <v>399.60737712043021</v>
      </c>
      <c r="Z4" s="295" t="s">
        <v>160</v>
      </c>
      <c r="AA4" s="296">
        <v>0</v>
      </c>
      <c r="AB4" s="314">
        <f>U9</f>
        <v>212.9483787614827</v>
      </c>
      <c r="AD4" s="297"/>
      <c r="AE4" s="297"/>
    </row>
    <row r="5" spans="1:31" ht="15.75">
      <c r="A5" s="288" t="s">
        <v>82</v>
      </c>
      <c r="B5" s="33">
        <f>RESUM!G12</f>
        <v>1263</v>
      </c>
      <c r="C5" s="33"/>
      <c r="D5" s="315" t="s">
        <v>207</v>
      </c>
      <c r="E5" s="316">
        <f t="shared" si="0"/>
        <v>5.5261187214885208</v>
      </c>
      <c r="F5" s="317">
        <f t="shared" ref="F5:F23" si="15">$F$3+H5/120*$B$3</f>
        <v>43</v>
      </c>
      <c r="G5" s="318">
        <f t="shared" si="1"/>
        <v>2.1377672225952236E-2</v>
      </c>
      <c r="H5" s="319">
        <f>B27</f>
        <v>27</v>
      </c>
      <c r="I5" s="320">
        <f t="shared" ref="I5:I17" si="16">I4</f>
        <v>1262.9999989999999</v>
      </c>
      <c r="J5" s="321">
        <f t="shared" si="2"/>
        <v>80.242976516794855</v>
      </c>
      <c r="K5" s="320">
        <f t="shared" si="3"/>
        <v>606.701490316697</v>
      </c>
      <c r="L5" s="319">
        <f>L4</f>
        <v>45.5</v>
      </c>
      <c r="M5" s="320">
        <f t="shared" si="4"/>
        <v>125.43824190485886</v>
      </c>
      <c r="N5" s="320">
        <f t="shared" si="5"/>
        <v>133.43538710620166</v>
      </c>
      <c r="O5" s="322">
        <f t="shared" si="6"/>
        <v>2.0997337069354107</v>
      </c>
      <c r="P5" s="321">
        <f t="shared" si="6"/>
        <v>5.788723179480221</v>
      </c>
      <c r="Q5" s="323">
        <f t="shared" si="7"/>
        <v>6.1577753847223367</v>
      </c>
      <c r="R5" s="322">
        <f t="shared" si="8"/>
        <v>11.936939470623052</v>
      </c>
      <c r="S5" s="321">
        <f t="shared" si="9"/>
        <v>32.908762657575217</v>
      </c>
      <c r="T5" s="323">
        <f t="shared" si="10"/>
        <v>35.006816244524941</v>
      </c>
      <c r="U5" s="324">
        <f>$B$21*1*2*PI()*F5*L5/1000</f>
        <v>217.89170465623221</v>
      </c>
      <c r="V5" s="321">
        <f t="shared" si="11"/>
        <v>-30.809028950639807</v>
      </c>
      <c r="W5" s="321">
        <f t="shared" si="12"/>
        <v>235.6173673063355</v>
      </c>
      <c r="X5" s="325">
        <f t="shared" si="13"/>
        <v>237.62310502400641</v>
      </c>
      <c r="Y5" s="325">
        <f t="shared" si="14"/>
        <v>411.57529095385439</v>
      </c>
      <c r="Z5" s="295" t="s">
        <v>208</v>
      </c>
      <c r="AA5" s="326">
        <f>AA4+O9</f>
        <v>2.0061597753803513</v>
      </c>
      <c r="AB5" s="314">
        <f>AB4+0</f>
        <v>212.9483787614827</v>
      </c>
      <c r="AD5" s="297"/>
      <c r="AE5" s="297"/>
    </row>
    <row r="6" spans="1:31" ht="15.75">
      <c r="A6" s="288" t="s">
        <v>81</v>
      </c>
      <c r="B6" s="36">
        <f>RESUM!G13</f>
        <v>71.420967386710359</v>
      </c>
      <c r="C6" s="36"/>
      <c r="D6" s="327"/>
      <c r="E6" s="303">
        <f t="shared" si="0"/>
        <v>5.5320876189680233</v>
      </c>
      <c r="F6" s="304">
        <f t="shared" si="15"/>
        <v>43.246153846153845</v>
      </c>
      <c r="G6" s="305">
        <f t="shared" si="1"/>
        <v>2.7224556937323788E-2</v>
      </c>
      <c r="H6" s="306">
        <f>H5+($H$18-$H$5)/13</f>
        <v>34.384615384615387</v>
      </c>
      <c r="I6" s="307">
        <f t="shared" si="16"/>
        <v>1262.9999989999999</v>
      </c>
      <c r="J6" s="308">
        <f t="shared" si="2"/>
        <v>100.46888366347328</v>
      </c>
      <c r="K6" s="307">
        <f t="shared" si="3"/>
        <v>759.62562824830252</v>
      </c>
      <c r="L6" s="306">
        <f>L5+(L$18-L$5)/13</f>
        <v>44.99307692307692</v>
      </c>
      <c r="M6" s="307">
        <f t="shared" si="4"/>
        <v>158.87065861826937</v>
      </c>
      <c r="N6" s="307">
        <f t="shared" si="5"/>
        <v>165.11893634834439</v>
      </c>
      <c r="O6" s="309">
        <f t="shared" si="6"/>
        <v>2.0763402240466458</v>
      </c>
      <c r="P6" s="308">
        <f t="shared" si="6"/>
        <v>7.3315621306331629</v>
      </c>
      <c r="Q6" s="310">
        <f t="shared" si="7"/>
        <v>7.6199076110756332</v>
      </c>
      <c r="R6" s="309">
        <f t="shared" si="8"/>
        <v>11.871519835751467</v>
      </c>
      <c r="S6" s="308">
        <f t="shared" si="9"/>
        <v>41.918363981422615</v>
      </c>
      <c r="T6" s="310">
        <f t="shared" si="10"/>
        <v>43.566985460204492</v>
      </c>
      <c r="U6" s="311">
        <f t="shared" ref="U6:U23" si="17">$B$21*1*2*PI()*F6*L6/1000</f>
        <v>216.69756307620341</v>
      </c>
      <c r="V6" s="308">
        <f t="shared" si="11"/>
        <v>-39.842023757375969</v>
      </c>
      <c r="W6" s="308">
        <f t="shared" si="12"/>
        <v>235.90064504258805</v>
      </c>
      <c r="X6" s="312">
        <f t="shared" si="13"/>
        <v>239.24151226029406</v>
      </c>
      <c r="Y6" s="312">
        <f t="shared" si="14"/>
        <v>414.37845451444178</v>
      </c>
      <c r="Z6" s="295" t="s">
        <v>196</v>
      </c>
      <c r="AA6" s="326">
        <f>AA5+0</f>
        <v>2.0061597753803513</v>
      </c>
      <c r="AB6" s="326">
        <f>AB5+P9</f>
        <v>224.79505844354105</v>
      </c>
      <c r="AD6" s="297"/>
      <c r="AE6" s="297"/>
    </row>
    <row r="7" spans="1:31" ht="15.75">
      <c r="A7" s="288" t="s">
        <v>130</v>
      </c>
      <c r="B7" s="30">
        <f>RESUM!G14</f>
        <v>400</v>
      </c>
      <c r="C7" s="30"/>
      <c r="D7" s="327"/>
      <c r="E7" s="303">
        <f t="shared" si="0"/>
        <v>5.5444263741211017</v>
      </c>
      <c r="F7" s="304">
        <f t="shared" si="15"/>
        <v>43.492307692307691</v>
      </c>
      <c r="G7" s="305">
        <f t="shared" si="1"/>
        <v>3.3071441648695341E-2</v>
      </c>
      <c r="H7" s="306">
        <f t="shared" ref="H7:H17" si="18">H6+($H$18-$H$5)/13</f>
        <v>41.769230769230774</v>
      </c>
      <c r="I7" s="307">
        <f t="shared" si="16"/>
        <v>1262.9999989999999</v>
      </c>
      <c r="J7" s="308">
        <f t="shared" si="2"/>
        <v>119.94825335988381</v>
      </c>
      <c r="K7" s="307">
        <f t="shared" si="3"/>
        <v>906.90534216530364</v>
      </c>
      <c r="L7" s="306">
        <f t="shared" ref="L7:L17" si="19">L6+(L$18-L$5)/13</f>
        <v>44.48615384615384</v>
      </c>
      <c r="M7" s="307">
        <f t="shared" si="4"/>
        <v>191.90227823294885</v>
      </c>
      <c r="N7" s="307">
        <f t="shared" si="5"/>
        <v>196.99112232539767</v>
      </c>
      <c r="O7" s="309">
        <f t="shared" si="6"/>
        <v>2.0529467411578808</v>
      </c>
      <c r="P7" s="308">
        <f t="shared" si="6"/>
        <v>8.8559050998553897</v>
      </c>
      <c r="Q7" s="310">
        <f t="shared" si="7"/>
        <v>9.0907450442565754</v>
      </c>
      <c r="R7" s="309">
        <f t="shared" si="8"/>
        <v>11.80457757985147</v>
      </c>
      <c r="S7" s="308">
        <f t="shared" si="9"/>
        <v>50.922031582798681</v>
      </c>
      <c r="T7" s="310">
        <f t="shared" si="10"/>
        <v>52.272376570788118</v>
      </c>
      <c r="U7" s="311">
        <f t="shared" si="17"/>
        <v>215.47562823373551</v>
      </c>
      <c r="V7" s="308">
        <f t="shared" si="11"/>
        <v>-48.869084841640799</v>
      </c>
      <c r="W7" s="308">
        <f t="shared" si="12"/>
        <v>236.13611091344237</v>
      </c>
      <c r="X7" s="312">
        <f t="shared" si="13"/>
        <v>241.13989784062082</v>
      </c>
      <c r="Y7" s="312">
        <f t="shared" si="14"/>
        <v>417.66655479192383</v>
      </c>
      <c r="Z7" s="295" t="s">
        <v>209</v>
      </c>
      <c r="AA7" s="326">
        <f>AA6-S9</f>
        <v>-66.884090208731692</v>
      </c>
      <c r="AB7" s="326">
        <f>AB6</f>
        <v>224.79505844354105</v>
      </c>
      <c r="AD7" s="297"/>
      <c r="AE7" s="297"/>
    </row>
    <row r="8" spans="1:31" ht="15.75">
      <c r="A8" s="288" t="s">
        <v>35</v>
      </c>
      <c r="B8" s="39">
        <f>RESUM!G15</f>
        <v>130.9</v>
      </c>
      <c r="C8" s="39"/>
      <c r="D8" s="327"/>
      <c r="E8" s="303">
        <f t="shared" si="0"/>
        <v>5.56281700445673</v>
      </c>
      <c r="F8" s="304">
        <f t="shared" si="15"/>
        <v>43.738461538461543</v>
      </c>
      <c r="G8" s="305">
        <f t="shared" si="1"/>
        <v>3.8918326360066896E-2</v>
      </c>
      <c r="H8" s="306">
        <f t="shared" si="18"/>
        <v>49.15384615384616</v>
      </c>
      <c r="I8" s="307">
        <f t="shared" si="16"/>
        <v>1262.9999989999999</v>
      </c>
      <c r="J8" s="308">
        <f t="shared" si="2"/>
        <v>138.67829928918917</v>
      </c>
      <c r="K8" s="307">
        <f t="shared" si="3"/>
        <v>1048.5195652696941</v>
      </c>
      <c r="L8" s="306">
        <f t="shared" si="19"/>
        <v>43.97923076923076</v>
      </c>
      <c r="M8" s="307">
        <f t="shared" si="4"/>
        <v>224.51997227752486</v>
      </c>
      <c r="N8" s="307">
        <f t="shared" si="5"/>
        <v>228.7867799733057</v>
      </c>
      <c r="O8" s="309">
        <f t="shared" si="6"/>
        <v>2.0295532582691158</v>
      </c>
      <c r="P8" s="308">
        <f t="shared" si="6"/>
        <v>10.361146234534569</v>
      </c>
      <c r="Q8" s="310">
        <f t="shared" si="7"/>
        <v>10.558050848597041</v>
      </c>
      <c r="R8" s="309">
        <f t="shared" si="8"/>
        <v>11.736112702923061</v>
      </c>
      <c r="S8" s="308">
        <f t="shared" si="9"/>
        <v>59.914456269883537</v>
      </c>
      <c r="T8" s="310">
        <f t="shared" si="10"/>
        <v>61.05307864056897</v>
      </c>
      <c r="U8" s="311">
        <f t="shared" si="17"/>
        <v>214.22590012882861</v>
      </c>
      <c r="V8" s="308">
        <f t="shared" si="11"/>
        <v>-57.884903011614419</v>
      </c>
      <c r="W8" s="308">
        <f t="shared" si="12"/>
        <v>236.32315906628625</v>
      </c>
      <c r="X8" s="312">
        <f t="shared" si="13"/>
        <v>243.30905759493055</v>
      </c>
      <c r="Y8" s="312">
        <f t="shared" si="14"/>
        <v>421.42364969612191</v>
      </c>
      <c r="Z8" s="295" t="s">
        <v>210</v>
      </c>
      <c r="AA8" s="326">
        <f>AA7</f>
        <v>-66.884090208731692</v>
      </c>
      <c r="AB8" s="326">
        <f>AB7+R9</f>
        <v>236.4611836485073</v>
      </c>
      <c r="AC8" s="288">
        <f>(AB8^2+AA8^2)^0.5</f>
        <v>245.73842372633314</v>
      </c>
      <c r="AD8" s="297"/>
      <c r="AE8" s="297"/>
    </row>
    <row r="9" spans="1:31" ht="15.75">
      <c r="A9" s="288" t="s">
        <v>83</v>
      </c>
      <c r="B9" s="39">
        <f>RESUM!G16</f>
        <v>43</v>
      </c>
      <c r="C9" s="39"/>
      <c r="D9" s="327"/>
      <c r="E9" s="303">
        <f t="shared" si="0"/>
        <v>5.58691764330593</v>
      </c>
      <c r="F9" s="304">
        <f t="shared" si="15"/>
        <v>43.984615384615388</v>
      </c>
      <c r="G9" s="305">
        <f t="shared" si="1"/>
        <v>4.4765211071438452E-2</v>
      </c>
      <c r="H9" s="306">
        <f t="shared" si="18"/>
        <v>56.538461538461547</v>
      </c>
      <c r="I9" s="307">
        <f t="shared" si="16"/>
        <v>1262.9999989999999</v>
      </c>
      <c r="J9" s="308">
        <f t="shared" si="2"/>
        <v>156.65690640538443</v>
      </c>
      <c r="K9" s="307">
        <f t="shared" si="3"/>
        <v>1184.4523061112689</v>
      </c>
      <c r="L9" s="306">
        <f t="shared" si="19"/>
        <v>43.47230769230768</v>
      </c>
      <c r="M9" s="307">
        <f t="shared" si="4"/>
        <v>256.71061228062484</v>
      </c>
      <c r="N9" s="307">
        <f t="shared" si="5"/>
        <v>260.36547388927738</v>
      </c>
      <c r="O9" s="309">
        <f t="shared" si="6"/>
        <v>2.0061597753803513</v>
      </c>
      <c r="P9" s="308">
        <f t="shared" si="6"/>
        <v>11.84667968205836</v>
      </c>
      <c r="Q9" s="310">
        <f t="shared" si="7"/>
        <v>12.015344212033568</v>
      </c>
      <c r="R9" s="309">
        <f t="shared" si="8"/>
        <v>11.666125204966239</v>
      </c>
      <c r="S9" s="308">
        <f t="shared" si="9"/>
        <v>68.890249984112046</v>
      </c>
      <c r="T9" s="310">
        <f t="shared" si="10"/>
        <v>69.871059961699444</v>
      </c>
      <c r="U9" s="311">
        <f t="shared" si="17"/>
        <v>212.9483787614827</v>
      </c>
      <c r="V9" s="308">
        <f t="shared" si="11"/>
        <v>-66.884090208731692</v>
      </c>
      <c r="W9" s="308">
        <f t="shared" si="12"/>
        <v>236.4611836485073</v>
      </c>
      <c r="X9" s="312">
        <f t="shared" si="13"/>
        <v>245.73842372633314</v>
      </c>
      <c r="Y9" s="312">
        <f t="shared" si="14"/>
        <v>425.63143526589823</v>
      </c>
      <c r="Z9" s="295" t="s">
        <v>203</v>
      </c>
      <c r="AA9" s="296">
        <v>0</v>
      </c>
      <c r="AB9" s="296">
        <v>0</v>
      </c>
      <c r="AD9" s="297"/>
      <c r="AE9" s="297"/>
    </row>
    <row r="10" spans="1:31" ht="15.75">
      <c r="A10" s="288" t="s">
        <v>133</v>
      </c>
      <c r="B10" s="41">
        <f>RESUM!G17</f>
        <v>0.83948844328330163</v>
      </c>
      <c r="C10" s="41"/>
      <c r="D10" s="327"/>
      <c r="E10" s="303">
        <f t="shared" si="0"/>
        <v>5.6163668691830377</v>
      </c>
      <c r="F10" s="304">
        <f t="shared" si="15"/>
        <v>44.230769230769234</v>
      </c>
      <c r="G10" s="305">
        <f t="shared" si="1"/>
        <v>5.0612095782810007E-2</v>
      </c>
      <c r="H10" s="306">
        <f t="shared" si="18"/>
        <v>63.923076923076934</v>
      </c>
      <c r="I10" s="307">
        <f t="shared" si="16"/>
        <v>1262.9999989999999</v>
      </c>
      <c r="J10" s="308">
        <f t="shared" si="2"/>
        <v>173.88262958015838</v>
      </c>
      <c r="K10" s="307">
        <f t="shared" si="3"/>
        <v>1314.6926383568061</v>
      </c>
      <c r="L10" s="306">
        <f t="shared" si="19"/>
        <v>42.9653846153846</v>
      </c>
      <c r="M10" s="307">
        <f t="shared" si="4"/>
        <v>288.46106977087607</v>
      </c>
      <c r="N10" s="307">
        <f t="shared" si="5"/>
        <v>291.64329762315157</v>
      </c>
      <c r="O10" s="309">
        <f t="shared" si="6"/>
        <v>1.9827662924915863</v>
      </c>
      <c r="P10" s="308">
        <f t="shared" si="6"/>
        <v>13.311899589814411</v>
      </c>
      <c r="Q10" s="310">
        <f t="shared" si="7"/>
        <v>13.458753020244556</v>
      </c>
      <c r="R10" s="309">
        <f t="shared" si="8"/>
        <v>11.594615085981005</v>
      </c>
      <c r="S10" s="308">
        <f t="shared" si="9"/>
        <v>77.843945800173771</v>
      </c>
      <c r="T10" s="310">
        <f t="shared" si="10"/>
        <v>78.702700059988103</v>
      </c>
      <c r="U10" s="311">
        <f t="shared" si="17"/>
        <v>211.64306413169763</v>
      </c>
      <c r="V10" s="308">
        <f t="shared" si="11"/>
        <v>-75.861179507682181</v>
      </c>
      <c r="W10" s="308">
        <f t="shared" si="12"/>
        <v>236.54957880749305</v>
      </c>
      <c r="X10" s="312">
        <f t="shared" si="13"/>
        <v>248.41622690617282</v>
      </c>
      <c r="Y10" s="312">
        <f t="shared" si="14"/>
        <v>430.26952642605011</v>
      </c>
      <c r="AD10" s="297"/>
      <c r="AE10" s="297"/>
    </row>
    <row r="11" spans="1:31" ht="15.75">
      <c r="A11" s="288" t="s">
        <v>146</v>
      </c>
      <c r="B11" s="44">
        <f>RESUM!G18</f>
        <v>0.93810346754101459</v>
      </c>
      <c r="C11" s="44"/>
      <c r="D11" s="327"/>
      <c r="E11" s="303">
        <f t="shared" si="0"/>
        <v>5.6507880280522675</v>
      </c>
      <c r="F11" s="304">
        <f t="shared" si="15"/>
        <v>44.476923076923079</v>
      </c>
      <c r="G11" s="305">
        <f t="shared" si="1"/>
        <v>5.6458980494181556E-2</v>
      </c>
      <c r="H11" s="306">
        <f t="shared" si="18"/>
        <v>71.307692307692321</v>
      </c>
      <c r="I11" s="307">
        <f t="shared" si="16"/>
        <v>1262.9999989999999</v>
      </c>
      <c r="J11" s="308">
        <f t="shared" si="2"/>
        <v>190.35469186573906</v>
      </c>
      <c r="K11" s="307">
        <f t="shared" si="3"/>
        <v>1439.2346876557826</v>
      </c>
      <c r="L11" s="306">
        <f t="shared" si="19"/>
        <v>42.45846153846152</v>
      </c>
      <c r="M11" s="307">
        <f t="shared" si="4"/>
        <v>319.75821627690601</v>
      </c>
      <c r="N11" s="307">
        <f t="shared" si="5"/>
        <v>322.56478083138836</v>
      </c>
      <c r="O11" s="309">
        <f t="shared" si="6"/>
        <v>1.9593728096028213</v>
      </c>
      <c r="P11" s="308">
        <f t="shared" si="6"/>
        <v>14.756200105190388</v>
      </c>
      <c r="Q11" s="310">
        <f t="shared" si="7"/>
        <v>14.885717428173614</v>
      </c>
      <c r="R11" s="309">
        <f t="shared" si="8"/>
        <v>11.521582345967357</v>
      </c>
      <c r="S11" s="308">
        <f t="shared" si="9"/>
        <v>86.769997926013062</v>
      </c>
      <c r="T11" s="310">
        <f t="shared" si="10"/>
        <v>87.531590867727402</v>
      </c>
      <c r="U11" s="311">
        <f t="shared" si="17"/>
        <v>210.30995623947351</v>
      </c>
      <c r="V11" s="308">
        <f t="shared" si="11"/>
        <v>-84.810625116410236</v>
      </c>
      <c r="W11" s="308">
        <f t="shared" si="12"/>
        <v>236.58773869063126</v>
      </c>
      <c r="X11" s="312">
        <f t="shared" si="13"/>
        <v>251.32966444767854</v>
      </c>
      <c r="Y11" s="312">
        <f t="shared" si="14"/>
        <v>435.31574827261653</v>
      </c>
      <c r="AD11" s="297"/>
      <c r="AE11" s="297"/>
    </row>
    <row r="12" spans="1:31" ht="15.75">
      <c r="A12" s="288" t="s">
        <v>147</v>
      </c>
      <c r="B12" s="47">
        <f>RESUM!G19</f>
        <v>0.46263199999999999</v>
      </c>
      <c r="C12" s="47"/>
      <c r="D12" s="327"/>
      <c r="E12" s="303">
        <f t="shared" si="0"/>
        <v>5.6897934221960416</v>
      </c>
      <c r="F12" s="304">
        <f t="shared" si="15"/>
        <v>44.723076923076924</v>
      </c>
      <c r="G12" s="305">
        <f t="shared" si="1"/>
        <v>6.2305865205553111E-2</v>
      </c>
      <c r="H12" s="306">
        <f t="shared" si="18"/>
        <v>78.692307692307708</v>
      </c>
      <c r="I12" s="307">
        <f t="shared" si="16"/>
        <v>1262.9999989999999</v>
      </c>
      <c r="J12" s="308">
        <f t="shared" si="2"/>
        <v>206.07298237372055</v>
      </c>
      <c r="K12" s="307">
        <f t="shared" si="3"/>
        <v>1558.0776156025941</v>
      </c>
      <c r="L12" s="306">
        <f t="shared" si="19"/>
        <v>41.951538461538441</v>
      </c>
      <c r="M12" s="307">
        <f t="shared" si="4"/>
        <v>350.58892332734229</v>
      </c>
      <c r="N12" s="307">
        <f t="shared" si="5"/>
        <v>353.08996691936039</v>
      </c>
      <c r="O12" s="309">
        <f t="shared" si="6"/>
        <v>1.9359793267140564</v>
      </c>
      <c r="P12" s="308">
        <f t="shared" si="6"/>
        <v>16.178975375573955</v>
      </c>
      <c r="Q12" s="310">
        <f t="shared" si="7"/>
        <v>16.294393519149235</v>
      </c>
      <c r="R12" s="309">
        <f t="shared" si="8"/>
        <v>11.447026984925296</v>
      </c>
      <c r="S12" s="308">
        <f t="shared" si="9"/>
        <v>95.66278170282915</v>
      </c>
      <c r="T12" s="310">
        <f t="shared" si="10"/>
        <v>96.34522421955721</v>
      </c>
      <c r="U12" s="311">
        <f t="shared" si="17"/>
        <v>208.94905508481037</v>
      </c>
      <c r="V12" s="308">
        <f t="shared" si="11"/>
        <v>-93.726802376115089</v>
      </c>
      <c r="W12" s="308">
        <f t="shared" si="12"/>
        <v>236.57505744530962</v>
      </c>
      <c r="X12" s="312">
        <f t="shared" si="13"/>
        <v>254.46506889729065</v>
      </c>
      <c r="Y12" s="312">
        <f t="shared" si="14"/>
        <v>440.74642808162224</v>
      </c>
      <c r="AB12" s="326"/>
      <c r="AD12" s="297"/>
      <c r="AE12" s="297"/>
    </row>
    <row r="13" spans="1:31" ht="15.75">
      <c r="B13" s="49">
        <f>RESUM!G20</f>
        <v>0</v>
      </c>
      <c r="C13" s="49"/>
      <c r="E13" s="303">
        <f t="shared" si="0"/>
        <v>5.7329882612393641</v>
      </c>
      <c r="F13" s="304">
        <f t="shared" si="15"/>
        <v>44.969230769230769</v>
      </c>
      <c r="G13" s="305">
        <f t="shared" si="1"/>
        <v>6.815274991692466E-2</v>
      </c>
      <c r="H13" s="306">
        <f t="shared" si="18"/>
        <v>86.076923076923094</v>
      </c>
      <c r="I13" s="307">
        <f t="shared" si="16"/>
        <v>1262.9999989999999</v>
      </c>
      <c r="J13" s="308">
        <f t="shared" si="2"/>
        <v>221.0380537698731</v>
      </c>
      <c r="K13" s="307">
        <f t="shared" si="3"/>
        <v>1671.2256007953074</v>
      </c>
      <c r="L13" s="306">
        <f t="shared" si="19"/>
        <v>41.444615384615361</v>
      </c>
      <c r="M13" s="307">
        <f t="shared" si="4"/>
        <v>380.94006245081221</v>
      </c>
      <c r="N13" s="307">
        <f t="shared" si="5"/>
        <v>383.18792690324602</v>
      </c>
      <c r="O13" s="309">
        <f t="shared" si="6"/>
        <v>1.9125858438252914</v>
      </c>
      <c r="P13" s="308">
        <f t="shared" si="6"/>
        <v>17.579619548352763</v>
      </c>
      <c r="Q13" s="310">
        <f t="shared" si="7"/>
        <v>17.683353982625231</v>
      </c>
      <c r="R13" s="309">
        <f t="shared" si="8"/>
        <v>11.370949002854827</v>
      </c>
      <c r="S13" s="308">
        <f t="shared" si="9"/>
        <v>104.51659360507584</v>
      </c>
      <c r="T13" s="310">
        <f t="shared" si="10"/>
        <v>105.1333287784331</v>
      </c>
      <c r="U13" s="311">
        <f t="shared" si="17"/>
        <v>207.56036066770812</v>
      </c>
      <c r="V13" s="308">
        <f t="shared" si="11"/>
        <v>-102.60400776125054</v>
      </c>
      <c r="W13" s="308">
        <f t="shared" si="12"/>
        <v>236.51092921891572</v>
      </c>
      <c r="X13" s="312">
        <f t="shared" si="13"/>
        <v>257.80807211696401</v>
      </c>
      <c r="Y13" s="312">
        <f t="shared" si="14"/>
        <v>446.53667950796284</v>
      </c>
      <c r="AD13" s="297"/>
      <c r="AE13" s="297"/>
    </row>
    <row r="14" spans="1:31" ht="15.75">
      <c r="B14" s="50" t="str">
        <f>RESUM!G21</f>
        <v>MAC QT 160 P</v>
      </c>
      <c r="C14" s="50"/>
      <c r="E14" s="303">
        <f t="shared" si="0"/>
        <v>5.7799742953181514</v>
      </c>
      <c r="F14" s="304">
        <f t="shared" si="15"/>
        <v>45.215384615384615</v>
      </c>
      <c r="G14" s="305">
        <f t="shared" si="1"/>
        <v>7.3999634628296215E-2</v>
      </c>
      <c r="H14" s="306">
        <f t="shared" si="18"/>
        <v>93.461538461538481</v>
      </c>
      <c r="I14" s="307">
        <f t="shared" si="16"/>
        <v>1262.9999989999999</v>
      </c>
      <c r="J14" s="308">
        <f t="shared" si="2"/>
        <v>235.25111938493589</v>
      </c>
      <c r="K14" s="307">
        <f t="shared" si="3"/>
        <v>1778.6878169909239</v>
      </c>
      <c r="L14" s="306">
        <f t="shared" si="19"/>
        <v>40.937692307692281</v>
      </c>
      <c r="M14" s="307">
        <f t="shared" si="4"/>
        <v>410.79850517594321</v>
      </c>
      <c r="N14" s="307">
        <f t="shared" si="5"/>
        <v>412.83326719908212</v>
      </c>
      <c r="O14" s="309">
        <f t="shared" si="6"/>
        <v>1.8891923609365266</v>
      </c>
      <c r="P14" s="308">
        <f t="shared" si="6"/>
        <v>18.95752677091448</v>
      </c>
      <c r="Q14" s="310">
        <f t="shared" si="7"/>
        <v>19.051426955652431</v>
      </c>
      <c r="R14" s="309">
        <f t="shared" si="8"/>
        <v>11.29334839975594</v>
      </c>
      <c r="S14" s="308">
        <f t="shared" si="9"/>
        <v>113.32565124046178</v>
      </c>
      <c r="T14" s="310">
        <f t="shared" si="10"/>
        <v>113.88697444024511</v>
      </c>
      <c r="U14" s="311">
        <f t="shared" si="17"/>
        <v>206.14387298816683</v>
      </c>
      <c r="V14" s="308">
        <f t="shared" si="11"/>
        <v>-111.43645887952525</v>
      </c>
      <c r="W14" s="308">
        <f t="shared" si="12"/>
        <v>236.39474815883725</v>
      </c>
      <c r="X14" s="312">
        <f t="shared" si="13"/>
        <v>261.34376082984687</v>
      </c>
      <c r="Y14" s="312">
        <f t="shared" si="14"/>
        <v>452.66067199842377</v>
      </c>
      <c r="AD14" s="297"/>
      <c r="AE14" s="297"/>
    </row>
    <row r="15" spans="1:31" ht="15.75">
      <c r="B15" s="356" t="str">
        <f>RESUM!G22</f>
        <v>F41</v>
      </c>
      <c r="C15" s="51"/>
      <c r="E15" s="303">
        <f t="shared" si="0"/>
        <v>5.8303530751582953</v>
      </c>
      <c r="F15" s="304">
        <f t="shared" si="15"/>
        <v>45.461538461538467</v>
      </c>
      <c r="G15" s="305">
        <f t="shared" si="1"/>
        <v>7.9846519339667771E-2</v>
      </c>
      <c r="H15" s="306">
        <f t="shared" si="18"/>
        <v>100.84615384615387</v>
      </c>
      <c r="I15" s="307">
        <f t="shared" si="16"/>
        <v>1262.9999989999999</v>
      </c>
      <c r="J15" s="308">
        <f t="shared" si="2"/>
        <v>248.71404994139303</v>
      </c>
      <c r="K15" s="307">
        <f t="shared" si="3"/>
        <v>1880.4784083571749</v>
      </c>
      <c r="L15" s="306">
        <f t="shared" si="19"/>
        <v>40.430769230769201</v>
      </c>
      <c r="M15" s="307">
        <f t="shared" si="4"/>
        <v>440.15112303136283</v>
      </c>
      <c r="N15" s="307">
        <f t="shared" si="5"/>
        <v>442.00413822311845</v>
      </c>
      <c r="O15" s="309">
        <f t="shared" si="6"/>
        <v>1.8657988780477617</v>
      </c>
      <c r="P15" s="308">
        <f t="shared" si="6"/>
        <v>20.312091190646758</v>
      </c>
      <c r="Q15" s="310">
        <f t="shared" si="7"/>
        <v>20.397604123780663</v>
      </c>
      <c r="R15" s="309">
        <f t="shared" si="8"/>
        <v>11.214225175628647</v>
      </c>
      <c r="S15" s="308">
        <f t="shared" si="9"/>
        <v>122.08409334995044</v>
      </c>
      <c r="T15" s="310">
        <f t="shared" si="10"/>
        <v>122.59806154817096</v>
      </c>
      <c r="U15" s="311">
        <f t="shared" si="17"/>
        <v>204.69959204618652</v>
      </c>
      <c r="V15" s="308">
        <f t="shared" si="11"/>
        <v>-120.21829447190268</v>
      </c>
      <c r="W15" s="308">
        <f t="shared" si="12"/>
        <v>236.22590841246193</v>
      </c>
      <c r="X15" s="312">
        <f t="shared" si="13"/>
        <v>265.05682057065792</v>
      </c>
      <c r="Y15" s="312">
        <f t="shared" si="14"/>
        <v>459.09188012104704</v>
      </c>
      <c r="AD15" s="297"/>
      <c r="AE15" s="297"/>
    </row>
    <row r="16" spans="1:31" ht="15.75">
      <c r="A16" s="288" t="s">
        <v>148</v>
      </c>
      <c r="B16" s="328">
        <f>RESUM!G23</f>
        <v>46.147993559020016</v>
      </c>
      <c r="C16" s="53"/>
      <c r="E16" s="303">
        <f t="shared" si="0"/>
        <v>5.8837288071503178</v>
      </c>
      <c r="F16" s="304">
        <f t="shared" si="15"/>
        <v>45.707692307692312</v>
      </c>
      <c r="G16" s="305">
        <f t="shared" si="1"/>
        <v>8.5693404051039326E-2</v>
      </c>
      <c r="H16" s="306">
        <f t="shared" si="18"/>
        <v>108.23076923076925</v>
      </c>
      <c r="I16" s="307">
        <f t="shared" si="16"/>
        <v>1262.9999989999999</v>
      </c>
      <c r="J16" s="308">
        <f t="shared" si="2"/>
        <v>261.42936989623172</v>
      </c>
      <c r="K16" s="307">
        <f t="shared" si="3"/>
        <v>1976.6164618208281</v>
      </c>
      <c r="L16" s="306">
        <f t="shared" si="19"/>
        <v>39.923846153846121</v>
      </c>
      <c r="M16" s="307">
        <f t="shared" si="4"/>
        <v>468.98478754569845</v>
      </c>
      <c r="N16" s="307">
        <f t="shared" si="5"/>
        <v>470.68104321397936</v>
      </c>
      <c r="O16" s="309">
        <f t="shared" si="6"/>
        <v>1.8424053951589967</v>
      </c>
      <c r="P16" s="308">
        <f t="shared" si="6"/>
        <v>21.64270695493726</v>
      </c>
      <c r="Q16" s="310">
        <f t="shared" si="7"/>
        <v>21.720985750591542</v>
      </c>
      <c r="R16" s="309">
        <f t="shared" si="8"/>
        <v>11.133579330472937</v>
      </c>
      <c r="S16" s="308">
        <f t="shared" si="9"/>
        <v>130.78597980775987</v>
      </c>
      <c r="T16" s="310">
        <f t="shared" si="10"/>
        <v>131.25901532079124</v>
      </c>
      <c r="U16" s="311">
        <f t="shared" si="17"/>
        <v>203.22751784176711</v>
      </c>
      <c r="V16" s="308">
        <f t="shared" si="11"/>
        <v>-128.94357441260087</v>
      </c>
      <c r="W16" s="308">
        <f t="shared" si="12"/>
        <v>236.00380412717732</v>
      </c>
      <c r="X16" s="312">
        <f t="shared" si="13"/>
        <v>268.93166593913224</v>
      </c>
      <c r="Y16" s="312">
        <f t="shared" si="14"/>
        <v>465.80330917071751</v>
      </c>
      <c r="AD16" s="297"/>
      <c r="AE16" s="297"/>
    </row>
    <row r="17" spans="1:31" ht="15.75">
      <c r="A17" s="288" t="s">
        <v>149</v>
      </c>
      <c r="B17" s="55">
        <f>RESUM!G24</f>
        <v>37.133950318180396</v>
      </c>
      <c r="C17" s="53"/>
      <c r="E17" s="303">
        <f t="shared" si="0"/>
        <v>5.9397107920760313</v>
      </c>
      <c r="F17" s="304">
        <f t="shared" si="15"/>
        <v>45.953846153846158</v>
      </c>
      <c r="G17" s="305">
        <f t="shared" si="1"/>
        <v>9.1540288762410882E-2</v>
      </c>
      <c r="H17" s="306">
        <f t="shared" si="18"/>
        <v>115.61538461538464</v>
      </c>
      <c r="I17" s="307">
        <f t="shared" si="16"/>
        <v>1262.9999989999999</v>
      </c>
      <c r="J17" s="308">
        <f t="shared" si="2"/>
        <v>273.40025339968332</v>
      </c>
      <c r="K17" s="307">
        <f t="shared" si="3"/>
        <v>2067.125976512516</v>
      </c>
      <c r="L17" s="306">
        <f t="shared" si="19"/>
        <v>39.416923076923041</v>
      </c>
      <c r="M17" s="307">
        <f t="shared" si="4"/>
        <v>497.28637024757757</v>
      </c>
      <c r="N17" s="307">
        <f t="shared" si="5"/>
        <v>498.8460963652646</v>
      </c>
      <c r="O17" s="309">
        <f t="shared" si="6"/>
        <v>1.819011912270232</v>
      </c>
      <c r="P17" s="308">
        <f t="shared" si="6"/>
        <v>22.948768211173654</v>
      </c>
      <c r="Q17" s="310">
        <f t="shared" si="7"/>
        <v>23.020746442006509</v>
      </c>
      <c r="R17" s="309">
        <f t="shared" si="8"/>
        <v>11.051410864288817</v>
      </c>
      <c r="S17" s="308">
        <f t="shared" si="9"/>
        <v>139.42529162136304</v>
      </c>
      <c r="T17" s="310">
        <f t="shared" si="10"/>
        <v>139.86259552072329</v>
      </c>
      <c r="U17" s="311">
        <f t="shared" si="17"/>
        <v>201.72765037490871</v>
      </c>
      <c r="V17" s="308">
        <f t="shared" si="11"/>
        <v>-137.6062797090928</v>
      </c>
      <c r="W17" s="308">
        <f t="shared" si="12"/>
        <v>235.72782945037119</v>
      </c>
      <c r="X17" s="312">
        <f t="shared" si="13"/>
        <v>272.95255593740166</v>
      </c>
      <c r="Y17" s="312">
        <f t="shared" si="14"/>
        <v>472.76769493936564</v>
      </c>
      <c r="AD17" s="297"/>
      <c r="AE17" s="297"/>
    </row>
    <row r="18" spans="1:31" ht="15.75">
      <c r="A18" s="288" t="s">
        <v>150</v>
      </c>
      <c r="B18" s="55">
        <f>RESUM!G25</f>
        <v>215.16473429221131</v>
      </c>
      <c r="C18" s="53"/>
      <c r="E18" s="316">
        <f t="shared" si="0"/>
        <v>5.997915453209596</v>
      </c>
      <c r="F18" s="317">
        <f t="shared" si="15"/>
        <v>46.2</v>
      </c>
      <c r="G18" s="318">
        <f t="shared" si="1"/>
        <v>9.738717347378241E-2</v>
      </c>
      <c r="H18" s="319">
        <v>123</v>
      </c>
      <c r="I18" s="320">
        <f>I12</f>
        <v>1262.9999989999999</v>
      </c>
      <c r="J18" s="321">
        <f t="shared" si="2"/>
        <v>284.63051986994776</v>
      </c>
      <c r="K18" s="320">
        <f t="shared" si="3"/>
        <v>2152.0358303080948</v>
      </c>
      <c r="L18" s="319">
        <v>38.909999999999997</v>
      </c>
      <c r="M18" s="320">
        <f t="shared" si="4"/>
        <v>525.04274266562766</v>
      </c>
      <c r="N18" s="320">
        <f t="shared" si="5"/>
        <v>526.48254455949871</v>
      </c>
      <c r="O18" s="322">
        <f t="shared" si="6"/>
        <v>1.7956184293814685</v>
      </c>
      <c r="P18" s="321">
        <f t="shared" si="6"/>
        <v>24.229669106743589</v>
      </c>
      <c r="Q18" s="323">
        <f t="shared" si="7"/>
        <v>24.296113075268213</v>
      </c>
      <c r="R18" s="322">
        <f t="shared" si="8"/>
        <v>10.967719777076292</v>
      </c>
      <c r="S18" s="321">
        <f t="shared" si="9"/>
        <v>147.99593093148761</v>
      </c>
      <c r="T18" s="323">
        <f t="shared" si="10"/>
        <v>148.40177374070072</v>
      </c>
      <c r="U18" s="324">
        <f t="shared" si="17"/>
        <v>200.19998964561134</v>
      </c>
      <c r="V18" s="321">
        <f t="shared" si="11"/>
        <v>-146.20031250210613</v>
      </c>
      <c r="W18" s="321">
        <f t="shared" si="12"/>
        <v>235.39737852943122</v>
      </c>
      <c r="X18" s="325">
        <f t="shared" si="13"/>
        <v>277.10369393828336</v>
      </c>
      <c r="Y18" s="325">
        <f t="shared" si="14"/>
        <v>479.95767686612265</v>
      </c>
      <c r="AD18" s="297"/>
      <c r="AE18" s="297"/>
    </row>
    <row r="19" spans="1:31" ht="15.75">
      <c r="A19" s="288" t="s">
        <v>151</v>
      </c>
      <c r="B19" s="55">
        <f>RESUM!G26+B20*B26/B8</f>
        <v>0.97103139388623116</v>
      </c>
      <c r="C19" s="329" t="s">
        <v>211</v>
      </c>
      <c r="D19" s="315" t="s">
        <v>212</v>
      </c>
      <c r="E19" s="316">
        <f t="shared" si="0"/>
        <v>5.9549852121830327</v>
      </c>
      <c r="F19" s="317">
        <f t="shared" si="15"/>
        <v>46.533333333333331</v>
      </c>
      <c r="G19" s="318">
        <f t="shared" si="1"/>
        <v>0.10530482985376471</v>
      </c>
      <c r="H19" s="319">
        <f>H18+10</f>
        <v>133</v>
      </c>
      <c r="I19" s="320">
        <f>I18</f>
        <v>1262.9999989999999</v>
      </c>
      <c r="J19" s="321">
        <f t="shared" si="2"/>
        <v>286.54654887298449</v>
      </c>
      <c r="K19" s="320">
        <f t="shared" si="3"/>
        <v>2166.5225517894332</v>
      </c>
      <c r="L19" s="319">
        <v>37.44</v>
      </c>
      <c r="M19" s="320">
        <f t="shared" si="4"/>
        <v>550.22204498761369</v>
      </c>
      <c r="N19" s="320">
        <f t="shared" si="5"/>
        <v>551.49438110496794</v>
      </c>
      <c r="O19" s="322">
        <f t="shared" ref="O19:P24" si="20">$B$16*L19/1000</f>
        <v>1.7277808788497093</v>
      </c>
      <c r="P19" s="321">
        <f t="shared" si="20"/>
        <v>25.391643388119217</v>
      </c>
      <c r="Q19" s="323">
        <f t="shared" si="7"/>
        <v>25.45035914706779</v>
      </c>
      <c r="R19" s="322">
        <f t="shared" si="8"/>
        <v>10.629507508937003</v>
      </c>
      <c r="S19" s="321">
        <f t="shared" si="9"/>
        <v>156.21232261694749</v>
      </c>
      <c r="T19" s="323">
        <f t="shared" si="10"/>
        <v>156.57354874711064</v>
      </c>
      <c r="U19" s="324">
        <f t="shared" si="17"/>
        <v>194.02640990836954</v>
      </c>
      <c r="V19" s="321">
        <f t="shared" si="11"/>
        <v>-154.48454173809779</v>
      </c>
      <c r="W19" s="321">
        <f t="shared" si="12"/>
        <v>230.04756080542575</v>
      </c>
      <c r="X19" s="325">
        <f t="shared" si="13"/>
        <v>277.10531187358379</v>
      </c>
      <c r="Y19" s="325">
        <f t="shared" si="14"/>
        <v>479.96047921226636</v>
      </c>
      <c r="AD19" s="297"/>
      <c r="AE19" s="297"/>
    </row>
    <row r="20" spans="1:31" ht="15.75">
      <c r="B20" s="42">
        <f>RESUM!G27</f>
        <v>0.47831092455173962</v>
      </c>
      <c r="C20" s="55"/>
      <c r="E20" s="316">
        <f t="shared" si="0"/>
        <v>5.9130394196429759</v>
      </c>
      <c r="F20" s="317">
        <f t="shared" si="15"/>
        <v>46.866666666666667</v>
      </c>
      <c r="G20" s="318">
        <f t="shared" si="1"/>
        <v>0.11322248623374703</v>
      </c>
      <c r="H20" s="319">
        <f>H19+10</f>
        <v>143</v>
      </c>
      <c r="I20" s="320">
        <f>I19</f>
        <v>1262.9999989999999</v>
      </c>
      <c r="J20" s="321">
        <f t="shared" si="2"/>
        <v>286.54545564622299</v>
      </c>
      <c r="K20" s="320">
        <f t="shared" si="3"/>
        <v>2166.5142861151744</v>
      </c>
      <c r="L20" s="319">
        <v>36.01</v>
      </c>
      <c r="M20" s="320">
        <f t="shared" si="4"/>
        <v>573.07249787385842</v>
      </c>
      <c r="N20" s="320">
        <f t="shared" si="5"/>
        <v>574.20275854386443</v>
      </c>
      <c r="O20" s="322">
        <f t="shared" si="20"/>
        <v>1.6617892480603107</v>
      </c>
      <c r="P20" s="321">
        <f t="shared" si="20"/>
        <v>26.446145940734333</v>
      </c>
      <c r="Q20" s="323">
        <f t="shared" si="7"/>
        <v>26.498305202853782</v>
      </c>
      <c r="R20" s="322">
        <f t="shared" si="8"/>
        <v>10.296753754391574</v>
      </c>
      <c r="S20" s="321">
        <f t="shared" si="9"/>
        <v>163.86521505196362</v>
      </c>
      <c r="T20" s="323">
        <f t="shared" si="10"/>
        <v>164.18840349398874</v>
      </c>
      <c r="U20" s="324">
        <f t="shared" si="17"/>
        <v>187.95246750570433</v>
      </c>
      <c r="V20" s="321">
        <f t="shared" si="11"/>
        <v>-162.20342580390331</v>
      </c>
      <c r="W20" s="321">
        <f t="shared" si="12"/>
        <v>224.69536720083025</v>
      </c>
      <c r="X20" s="325">
        <f t="shared" si="13"/>
        <v>277.12444746726749</v>
      </c>
      <c r="Y20" s="325">
        <f t="shared" si="14"/>
        <v>479.99362303275956</v>
      </c>
      <c r="AD20" s="297"/>
      <c r="AE20" s="297"/>
    </row>
    <row r="21" spans="1:31" ht="15.75">
      <c r="A21" s="288" t="s">
        <v>153</v>
      </c>
      <c r="B21" s="55">
        <f>RESUM!G28</f>
        <v>17.724785001154462</v>
      </c>
      <c r="C21" s="55"/>
      <c r="E21" s="303">
        <f t="shared" si="0"/>
        <v>2.4082192906978834</v>
      </c>
      <c r="F21" s="304">
        <f t="shared" si="15"/>
        <v>47.2</v>
      </c>
      <c r="G21" s="305">
        <f t="shared" si="1"/>
        <v>0.12114014261372934</v>
      </c>
      <c r="H21" s="306">
        <f>H20+10</f>
        <v>153</v>
      </c>
      <c r="I21" s="307">
        <f>I20</f>
        <v>1262.9999989999999</v>
      </c>
      <c r="J21" s="308">
        <f t="shared" si="2"/>
        <v>47.922579459952466</v>
      </c>
      <c r="K21" s="307">
        <f t="shared" si="3"/>
        <v>362.33327376743262</v>
      </c>
      <c r="L21" s="306">
        <v>14.2</v>
      </c>
      <c r="M21" s="307">
        <f t="shared" si="4"/>
        <v>243.50513047505137</v>
      </c>
      <c r="N21" s="307">
        <f t="shared" si="5"/>
        <v>243.91881552613319</v>
      </c>
      <c r="O21" s="309">
        <f t="shared" si="20"/>
        <v>0.65530150853808411</v>
      </c>
      <c r="P21" s="308">
        <f t="shared" si="20"/>
        <v>11.237273192750999</v>
      </c>
      <c r="Q21" s="310">
        <f t="shared" si="7"/>
        <v>11.256363927823786</v>
      </c>
      <c r="R21" s="309">
        <f t="shared" si="8"/>
        <v>4.0892483060518252</v>
      </c>
      <c r="S21" s="308">
        <f t="shared" si="9"/>
        <v>70.123446641551581</v>
      </c>
      <c r="T21" s="310">
        <f t="shared" si="10"/>
        <v>70.242577690451242</v>
      </c>
      <c r="U21" s="311">
        <f t="shared" si="17"/>
        <v>74.643361169840574</v>
      </c>
      <c r="V21" s="308">
        <f t="shared" si="11"/>
        <v>-69.468145133013493</v>
      </c>
      <c r="W21" s="308">
        <f t="shared" si="12"/>
        <v>89.969882668643393</v>
      </c>
      <c r="X21" s="312">
        <f t="shared" si="13"/>
        <v>113.6679505209401</v>
      </c>
      <c r="Y21" s="312">
        <f t="shared" si="14"/>
        <v>196.87866549449348</v>
      </c>
      <c r="AD21" s="297"/>
      <c r="AE21" s="297"/>
    </row>
    <row r="22" spans="1:31" ht="15.75">
      <c r="A22" s="288" t="s">
        <v>154</v>
      </c>
      <c r="B22" s="55">
        <f>RESUM!G29</f>
        <v>0.39540896579319501</v>
      </c>
      <c r="C22" s="55"/>
      <c r="E22" s="303">
        <f t="shared" si="0"/>
        <v>2.4353779423118933</v>
      </c>
      <c r="F22" s="304">
        <f t="shared" si="15"/>
        <v>47.533333333333331</v>
      </c>
      <c r="G22" s="305">
        <f t="shared" si="1"/>
        <v>0.12905779899371164</v>
      </c>
      <c r="H22" s="306">
        <f>H21+10</f>
        <v>163</v>
      </c>
      <c r="I22" s="307">
        <f>I21</f>
        <v>1262.9999989999999</v>
      </c>
      <c r="J22" s="308">
        <f t="shared" si="2"/>
        <v>49.166752319798441</v>
      </c>
      <c r="K22" s="307">
        <f t="shared" si="3"/>
        <v>371.74022202691242</v>
      </c>
      <c r="L22" s="306">
        <v>13.9</v>
      </c>
      <c r="M22" s="307">
        <f t="shared" si="4"/>
        <v>255.73314377788128</v>
      </c>
      <c r="N22" s="307">
        <f t="shared" si="5"/>
        <v>256.11062224460449</v>
      </c>
      <c r="O22" s="309">
        <f t="shared" si="20"/>
        <v>0.64145711047037823</v>
      </c>
      <c r="P22" s="308">
        <f t="shared" si="20"/>
        <v>11.801571471889606</v>
      </c>
      <c r="Q22" s="310">
        <f t="shared" si="7"/>
        <v>11.818991345740617</v>
      </c>
      <c r="R22" s="309">
        <f t="shared" si="8"/>
        <v>4.0311244914048521</v>
      </c>
      <c r="S22" s="308">
        <f t="shared" si="9"/>
        <v>74.164902096904711</v>
      </c>
      <c r="T22" s="310">
        <f t="shared" si="10"/>
        <v>74.274374233033186</v>
      </c>
      <c r="U22" s="311">
        <f t="shared" si="17"/>
        <v>73.582394321033163</v>
      </c>
      <c r="V22" s="308">
        <f t="shared" si="11"/>
        <v>-73.523444986434328</v>
      </c>
      <c r="W22" s="308">
        <f t="shared" si="12"/>
        <v>89.415090284327619</v>
      </c>
      <c r="X22" s="312">
        <f t="shared" si="13"/>
        <v>115.76163152455867</v>
      </c>
      <c r="Y22" s="312">
        <f t="shared" si="14"/>
        <v>200.50502736760262</v>
      </c>
      <c r="AD22" s="297"/>
      <c r="AE22" s="297"/>
    </row>
    <row r="23" spans="1:31" ht="15.75">
      <c r="A23" s="288" t="s">
        <v>155</v>
      </c>
      <c r="B23" s="55">
        <f>RESUM!G30</f>
        <v>0.49020090159365981</v>
      </c>
      <c r="C23" s="55"/>
      <c r="E23" s="303">
        <f t="shared" si="0"/>
        <v>2.4621305451747242</v>
      </c>
      <c r="F23" s="304">
        <f t="shared" si="15"/>
        <v>47.866666666666667</v>
      </c>
      <c r="G23" s="305">
        <f t="shared" si="1"/>
        <v>0.13697545537369396</v>
      </c>
      <c r="H23" s="306">
        <f>H22+10</f>
        <v>173</v>
      </c>
      <c r="I23" s="307">
        <f>I22</f>
        <v>1262.9999989999999</v>
      </c>
      <c r="J23" s="308">
        <f t="shared" si="2"/>
        <v>50.197475761894665</v>
      </c>
      <c r="K23" s="307">
        <f t="shared" si="3"/>
        <v>379.53332088202842</v>
      </c>
      <c r="L23" s="306">
        <v>13.6</v>
      </c>
      <c r="M23" s="307">
        <f t="shared" si="4"/>
        <v>267.42656054064025</v>
      </c>
      <c r="N23" s="307">
        <f t="shared" si="5"/>
        <v>267.77215180559148</v>
      </c>
      <c r="O23" s="309">
        <f t="shared" si="20"/>
        <v>0.62761271240267213</v>
      </c>
      <c r="P23" s="308">
        <f t="shared" si="20"/>
        <v>12.341199193340342</v>
      </c>
      <c r="Q23" s="310">
        <f t="shared" si="7"/>
        <v>12.357147536809364</v>
      </c>
      <c r="R23" s="309">
        <f t="shared" si="8"/>
        <v>3.9717804427205037</v>
      </c>
      <c r="S23" s="308">
        <f t="shared" si="9"/>
        <v>78.099969339656312</v>
      </c>
      <c r="T23" s="310">
        <f t="shared" si="10"/>
        <v>78.200896738723088</v>
      </c>
      <c r="U23" s="311">
        <f t="shared" si="17"/>
        <v>72.499153850487318</v>
      </c>
      <c r="V23" s="308">
        <f t="shared" si="11"/>
        <v>-77.472356627253646</v>
      </c>
      <c r="W23" s="308">
        <f t="shared" si="12"/>
        <v>88.812133486548163</v>
      </c>
      <c r="X23" s="312">
        <f t="shared" si="13"/>
        <v>117.85398209569679</v>
      </c>
      <c r="Y23" s="312">
        <f t="shared" si="14"/>
        <v>204.12908486405962</v>
      </c>
      <c r="AD23" s="297"/>
      <c r="AE23" s="297"/>
    </row>
    <row r="24" spans="1:31" ht="15.75">
      <c r="A24" s="288" t="s">
        <v>156</v>
      </c>
      <c r="B24" s="330">
        <f>RESUM!G31</f>
        <v>61.528311601178132</v>
      </c>
      <c r="C24" s="55"/>
      <c r="E24" s="303"/>
      <c r="F24" s="304"/>
      <c r="G24" s="305"/>
      <c r="H24" s="308"/>
      <c r="I24" s="307"/>
      <c r="J24" s="308"/>
      <c r="K24" s="307"/>
      <c r="L24" s="331"/>
      <c r="M24" s="307"/>
      <c r="N24" s="307"/>
      <c r="O24" s="309">
        <f t="shared" si="20"/>
        <v>0</v>
      </c>
      <c r="P24" s="308"/>
      <c r="Q24" s="310"/>
      <c r="R24" s="309"/>
      <c r="S24" s="308"/>
      <c r="T24" s="310"/>
      <c r="U24" s="311"/>
      <c r="V24" s="308"/>
      <c r="W24" s="308"/>
      <c r="X24" s="312"/>
      <c r="Y24" s="312"/>
      <c r="Z24" s="439" t="s">
        <v>227</v>
      </c>
      <c r="AA24" s="439"/>
      <c r="AD24" s="297"/>
      <c r="AE24" s="297"/>
    </row>
    <row r="25" spans="1:31" ht="16.5" thickBot="1">
      <c r="A25" s="288" t="s">
        <v>157</v>
      </c>
      <c r="B25" s="58">
        <f>RESUM!G32</f>
        <v>45.5</v>
      </c>
      <c r="C25" s="58"/>
      <c r="E25" s="332" t="s">
        <v>213</v>
      </c>
      <c r="F25" s="317"/>
      <c r="G25" s="305"/>
      <c r="H25" s="308"/>
      <c r="I25" s="307"/>
      <c r="J25" s="308"/>
      <c r="K25" s="307"/>
      <c r="L25" s="307"/>
      <c r="M25" s="307"/>
      <c r="N25" s="307"/>
      <c r="O25" s="309"/>
      <c r="P25" s="308"/>
      <c r="Q25" s="310"/>
      <c r="R25" s="309"/>
      <c r="S25" s="308"/>
      <c r="T25" s="310"/>
      <c r="U25" s="311"/>
      <c r="V25" s="308"/>
      <c r="W25" s="308"/>
      <c r="X25" s="312"/>
      <c r="Y25" s="312"/>
      <c r="Z25" s="295">
        <v>0.81</v>
      </c>
      <c r="AA25" s="295"/>
      <c r="AD25" s="297"/>
      <c r="AE25" s="297"/>
    </row>
    <row r="26" spans="1:31">
      <c r="A26" s="288" t="s">
        <v>214</v>
      </c>
      <c r="B26" s="333">
        <f>(B8^2-B25^2)^0.5</f>
        <v>122.73776924810065</v>
      </c>
      <c r="C26" s="333"/>
      <c r="E26" s="298" t="s">
        <v>187</v>
      </c>
      <c r="F26" s="291" t="s">
        <v>188</v>
      </c>
      <c r="G26" s="291" t="s">
        <v>189</v>
      </c>
      <c r="H26" s="291" t="s">
        <v>158</v>
      </c>
      <c r="I26" s="291" t="s">
        <v>82</v>
      </c>
      <c r="J26" s="291" t="s">
        <v>190</v>
      </c>
      <c r="K26" s="291" t="s">
        <v>191</v>
      </c>
      <c r="L26" s="291" t="s">
        <v>192</v>
      </c>
      <c r="M26" s="291" t="s">
        <v>193</v>
      </c>
      <c r="N26" s="291" t="s">
        <v>194</v>
      </c>
      <c r="O26" s="299" t="s">
        <v>195</v>
      </c>
      <c r="P26" s="300" t="s">
        <v>196</v>
      </c>
      <c r="Q26" s="301" t="s">
        <v>197</v>
      </c>
      <c r="R26" s="299" t="s">
        <v>198</v>
      </c>
      <c r="S26" s="300" t="s">
        <v>199</v>
      </c>
      <c r="T26" s="301" t="s">
        <v>200</v>
      </c>
      <c r="U26" s="302" t="s">
        <v>160</v>
      </c>
      <c r="V26" s="291" t="s">
        <v>201</v>
      </c>
      <c r="W26" s="291" t="s">
        <v>202</v>
      </c>
      <c r="X26" s="291" t="s">
        <v>203</v>
      </c>
      <c r="Y26" s="291" t="s">
        <v>204</v>
      </c>
      <c r="Z26" s="439" t="s">
        <v>228</v>
      </c>
      <c r="AA26" s="444"/>
      <c r="AD26" s="297"/>
      <c r="AE26" s="297"/>
    </row>
    <row r="27" spans="1:31">
      <c r="A27" s="288" t="s">
        <v>158</v>
      </c>
      <c r="B27" s="288">
        <f>B9*120/B3-B5</f>
        <v>27</v>
      </c>
      <c r="E27" s="303">
        <f t="shared" ref="E27:E56" si="21">X27/F27</f>
        <v>5.9979154515186828</v>
      </c>
      <c r="F27" s="304">
        <f>F18</f>
        <v>46.2</v>
      </c>
      <c r="G27" s="305">
        <f t="shared" ref="G27:G56" si="22">H27/I27</f>
        <v>9.7387173396674589E-2</v>
      </c>
      <c r="H27" s="308">
        <f>H18</f>
        <v>123</v>
      </c>
      <c r="I27" s="307">
        <f>F27*120/$B$3-H27</f>
        <v>1263</v>
      </c>
      <c r="J27" s="308">
        <f t="shared" ref="J27:J56" si="23">3*(1-G27)/G27*$B$17/1000*M27^2/1000</f>
        <v>284.63051966890231</v>
      </c>
      <c r="K27" s="307">
        <f t="shared" ref="K27:K56" si="24">J27/I27*1000*30/PI()</f>
        <v>2152.0358270841211</v>
      </c>
      <c r="L27" s="331">
        <f>L18</f>
        <v>38.909999999999997</v>
      </c>
      <c r="M27" s="307">
        <f t="shared" ref="M27:M56" si="25">U27/$B$17*1000*G27</f>
        <v>525.04274224991684</v>
      </c>
      <c r="N27" s="307">
        <f t="shared" ref="N27:N56" si="26">(L27^2+M27^2)^0.5</f>
        <v>526.48254414492476</v>
      </c>
      <c r="O27" s="309">
        <f t="shared" ref="O27:P48" si="27">$B$16*L27/1000</f>
        <v>1.7956184293814685</v>
      </c>
      <c r="P27" s="291">
        <f t="shared" si="27"/>
        <v>24.229669087559369</v>
      </c>
      <c r="Q27" s="310">
        <f t="shared" ref="Q27:Q56" si="28">N27*$B$16/1000</f>
        <v>24.296113056136459</v>
      </c>
      <c r="R27" s="309">
        <f t="shared" ref="R27:R56" si="29">2*PI()*F27*$B$19*L27/1000</f>
        <v>10.967719777076292</v>
      </c>
      <c r="S27" s="308">
        <f t="shared" ref="S27:S56" si="30">2*PI()*F27*$B$19*M27/1000</f>
        <v>147.9959308143095</v>
      </c>
      <c r="T27" s="310">
        <f>2*PI()*F27*$B$19*N27/1000</f>
        <v>148.40177362384307</v>
      </c>
      <c r="U27" s="311">
        <f>$B$21*2*PI()*F27*L27/1000</f>
        <v>200.19998964561134</v>
      </c>
      <c r="V27" s="308">
        <f t="shared" ref="V27:V56" si="31">O27-S27</f>
        <v>-146.20031238492803</v>
      </c>
      <c r="W27" s="308">
        <f t="shared" ref="W27:W56" si="32">P27+R27+U27</f>
        <v>235.39737851024699</v>
      </c>
      <c r="X27" s="312">
        <f t="shared" ref="X27:X56" si="33">(W27^2+V27^2)^0.5</f>
        <v>277.10369386016316</v>
      </c>
      <c r="Y27" s="312">
        <f t="shared" ref="Y27:Y56" si="34">X27*3^0.5</f>
        <v>479.95767673081451</v>
      </c>
      <c r="Z27" s="440">
        <f>J27</f>
        <v>284.63051966890231</v>
      </c>
      <c r="AA27" s="314"/>
      <c r="AD27" s="297"/>
      <c r="AE27" s="297"/>
    </row>
    <row r="28" spans="1:31">
      <c r="A28" s="288" t="s">
        <v>215</v>
      </c>
      <c r="B28" s="288">
        <f>B27/120*B3</f>
        <v>0.9</v>
      </c>
      <c r="E28" s="303">
        <f t="shared" si="21"/>
        <v>5.1311700085264169</v>
      </c>
      <c r="F28" s="304">
        <f>F27+($F$49-$F$27)/22</f>
        <v>53.463636363636368</v>
      </c>
      <c r="G28" s="305">
        <f t="shared" si="22"/>
        <v>8.4058629980430039E-2</v>
      </c>
      <c r="H28" s="304">
        <f>H27+($H$49-$H$27)/22</f>
        <v>124.36818181818182</v>
      </c>
      <c r="I28" s="307">
        <f t="shared" ref="I28:I56" si="35">F28*120/$B$3-H28</f>
        <v>1479.5409090909093</v>
      </c>
      <c r="J28" s="308">
        <f t="shared" si="23"/>
        <v>249.3033914613458</v>
      </c>
      <c r="K28" s="307">
        <f t="shared" si="24"/>
        <v>1609.0613042268649</v>
      </c>
      <c r="L28" s="331">
        <f t="shared" ref="L28:L56" si="36">L27*F27/F28</f>
        <v>33.623638836932493</v>
      </c>
      <c r="M28" s="307">
        <f t="shared" si="25"/>
        <v>453.18466544797661</v>
      </c>
      <c r="N28" s="307">
        <f t="shared" si="26"/>
        <v>454.43029177843215</v>
      </c>
      <c r="O28" s="309">
        <f t="shared" si="27"/>
        <v>1.5516634684775759</v>
      </c>
      <c r="P28" s="308">
        <f t="shared" si="27"/>
        <v>20.913563022139865</v>
      </c>
      <c r="Q28" s="310">
        <f t="shared" si="28"/>
        <v>20.971046178014671</v>
      </c>
      <c r="R28" s="309">
        <f t="shared" si="29"/>
        <v>10.967719777076294</v>
      </c>
      <c r="S28" s="308">
        <f t="shared" si="30"/>
        <v>147.8246433114177</v>
      </c>
      <c r="T28" s="310">
        <f t="shared" ref="T28:T56" si="37">2*PI()*F28*$B$19*N28/1000</f>
        <v>148.23095509122356</v>
      </c>
      <c r="U28" s="311">
        <f t="shared" ref="U28:U56" si="38">$B$21*2*PI()*F28*L28/1000</f>
        <v>200.19998964561134</v>
      </c>
      <c r="V28" s="308">
        <f t="shared" si="31"/>
        <v>-146.27297984294012</v>
      </c>
      <c r="W28" s="308">
        <f t="shared" si="32"/>
        <v>232.0812724448275</v>
      </c>
      <c r="X28" s="312">
        <f t="shared" si="33"/>
        <v>274.3310074558533</v>
      </c>
      <c r="Y28" s="312">
        <f t="shared" si="34"/>
        <v>475.15524300509435</v>
      </c>
      <c r="Z28" s="440">
        <f>Z27*(I27/I28)^Z$25</f>
        <v>250.38904723461664</v>
      </c>
      <c r="AD28" s="297"/>
      <c r="AE28" s="297"/>
    </row>
    <row r="29" spans="1:31">
      <c r="E29" s="303">
        <f t="shared" si="21"/>
        <v>4.4870067678490324</v>
      </c>
      <c r="F29" s="304">
        <f t="shared" ref="F29:F48" si="39">F28+($F$49-$F$27)/22</f>
        <v>60.727272727272734</v>
      </c>
      <c r="G29" s="305">
        <f t="shared" si="22"/>
        <v>7.4133430527043617E-2</v>
      </c>
      <c r="H29" s="304">
        <f t="shared" ref="H29:H48" si="40">H28+($H$49-$H$27)/22</f>
        <v>125.73636363636365</v>
      </c>
      <c r="I29" s="307">
        <f t="shared" si="35"/>
        <v>1696.0818181818183</v>
      </c>
      <c r="J29" s="308">
        <f t="shared" si="23"/>
        <v>222.24945507687286</v>
      </c>
      <c r="K29" s="307">
        <f t="shared" si="24"/>
        <v>1251.3110745877684</v>
      </c>
      <c r="L29" s="331">
        <f t="shared" si="36"/>
        <v>29.601889221556885</v>
      </c>
      <c r="M29" s="307">
        <f t="shared" si="25"/>
        <v>399.67501159286923</v>
      </c>
      <c r="N29" s="307">
        <f t="shared" si="26"/>
        <v>400.76974279160027</v>
      </c>
      <c r="O29" s="309">
        <f t="shared" si="27"/>
        <v>1.3660677931312311</v>
      </c>
      <c r="P29" s="308">
        <f t="shared" si="27"/>
        <v>18.444199860688979</v>
      </c>
      <c r="Q29" s="310">
        <f t="shared" si="28"/>
        <v>18.494719508996877</v>
      </c>
      <c r="R29" s="309">
        <f t="shared" si="29"/>
        <v>10.967719777076292</v>
      </c>
      <c r="S29" s="308">
        <f t="shared" si="30"/>
        <v>148.08255973940035</v>
      </c>
      <c r="T29" s="310">
        <f t="shared" si="37"/>
        <v>148.48816577788796</v>
      </c>
      <c r="U29" s="311">
        <f t="shared" si="38"/>
        <v>200.19998964561134</v>
      </c>
      <c r="V29" s="308">
        <f t="shared" si="31"/>
        <v>-146.71649194626912</v>
      </c>
      <c r="W29" s="308">
        <f t="shared" si="32"/>
        <v>229.6119092833766</v>
      </c>
      <c r="X29" s="312">
        <f t="shared" si="33"/>
        <v>272.48368372028671</v>
      </c>
      <c r="Y29" s="312">
        <f t="shared" si="34"/>
        <v>471.95558443706511</v>
      </c>
      <c r="Z29" s="440">
        <f t="shared" ref="Z29:Z56" si="41">Z28*(I28/I29)^Z$25</f>
        <v>224.1642091555419</v>
      </c>
      <c r="AD29" s="297"/>
      <c r="AE29" s="297"/>
    </row>
    <row r="30" spans="1:31">
      <c r="E30" s="303">
        <f t="shared" si="21"/>
        <v>3.9894868847723286</v>
      </c>
      <c r="F30" s="304">
        <f t="shared" si="39"/>
        <v>67.990909090909099</v>
      </c>
      <c r="G30" s="305">
        <f t="shared" si="22"/>
        <v>6.6455628515817169E-2</v>
      </c>
      <c r="H30" s="304">
        <f t="shared" si="40"/>
        <v>127.10454545454547</v>
      </c>
      <c r="I30" s="307">
        <f t="shared" si="35"/>
        <v>1912.6227272727274</v>
      </c>
      <c r="J30" s="308">
        <f t="shared" si="23"/>
        <v>200.88381091712327</v>
      </c>
      <c r="K30" s="307">
        <f t="shared" si="24"/>
        <v>1002.9678421793282</v>
      </c>
      <c r="L30" s="331">
        <f t="shared" si="36"/>
        <v>26.439446450060167</v>
      </c>
      <c r="M30" s="307">
        <f t="shared" si="25"/>
        <v>358.28173482112641</v>
      </c>
      <c r="N30" s="307">
        <f t="shared" si="26"/>
        <v>359.25596144674</v>
      </c>
      <c r="O30" s="309">
        <f t="shared" si="27"/>
        <v>1.2201274044814314</v>
      </c>
      <c r="P30" s="308">
        <f t="shared" si="27"/>
        <v>16.533983190839859</v>
      </c>
      <c r="Q30" s="310">
        <f t="shared" si="28"/>
        <v>16.578941794883701</v>
      </c>
      <c r="R30" s="309">
        <f t="shared" si="29"/>
        <v>10.967719777076292</v>
      </c>
      <c r="S30" s="308">
        <f t="shared" si="30"/>
        <v>148.62390088934441</v>
      </c>
      <c r="T30" s="310">
        <f t="shared" si="37"/>
        <v>149.02803357984075</v>
      </c>
      <c r="U30" s="311">
        <f t="shared" si="38"/>
        <v>200.19998964561134</v>
      </c>
      <c r="V30" s="308">
        <f t="shared" si="31"/>
        <v>-147.40377348486297</v>
      </c>
      <c r="W30" s="308">
        <f t="shared" si="32"/>
        <v>227.70169261352748</v>
      </c>
      <c r="X30" s="312">
        <f t="shared" si="33"/>
        <v>271.24884010192955</v>
      </c>
      <c r="Y30" s="312">
        <f t="shared" si="34"/>
        <v>469.8167725506683</v>
      </c>
      <c r="Z30" s="440">
        <f t="shared" si="41"/>
        <v>203.375407843994</v>
      </c>
      <c r="AD30" s="297"/>
      <c r="AE30" s="297"/>
    </row>
    <row r="31" spans="1:31">
      <c r="E31" s="303">
        <f t="shared" si="21"/>
        <v>3.593684390853622</v>
      </c>
      <c r="F31" s="304">
        <f t="shared" si="39"/>
        <v>75.254545454545465</v>
      </c>
      <c r="G31" s="305">
        <f t="shared" si="22"/>
        <v>6.0339527257822108E-2</v>
      </c>
      <c r="H31" s="304">
        <f t="shared" si="40"/>
        <v>128.4727272727273</v>
      </c>
      <c r="I31" s="307">
        <f t="shared" si="35"/>
        <v>2129.1636363636367</v>
      </c>
      <c r="J31" s="308">
        <f t="shared" si="23"/>
        <v>183.59086403923087</v>
      </c>
      <c r="K31" s="307">
        <f t="shared" si="24"/>
        <v>823.40482486143719</v>
      </c>
      <c r="L31" s="331">
        <f t="shared" si="36"/>
        <v>23.887487315776756</v>
      </c>
      <c r="M31" s="307">
        <f t="shared" si="25"/>
        <v>325.30804368321782</v>
      </c>
      <c r="N31" s="307">
        <f t="shared" si="26"/>
        <v>326.1838980318675</v>
      </c>
      <c r="O31" s="309">
        <f t="shared" si="27"/>
        <v>1.1023596107896381</v>
      </c>
      <c r="P31" s="308">
        <f t="shared" si="27"/>
        <v>15.012313504590539</v>
      </c>
      <c r="Q31" s="310">
        <f t="shared" si="28"/>
        <v>15.052732425430662</v>
      </c>
      <c r="R31" s="309">
        <f t="shared" si="29"/>
        <v>10.967719777076292</v>
      </c>
      <c r="S31" s="308">
        <f t="shared" si="30"/>
        <v>149.36219189491629</v>
      </c>
      <c r="T31" s="310">
        <f t="shared" si="37"/>
        <v>149.76433235173943</v>
      </c>
      <c r="U31" s="311">
        <f t="shared" si="38"/>
        <v>200.19998964561134</v>
      </c>
      <c r="V31" s="308">
        <f t="shared" si="31"/>
        <v>-148.25983228412665</v>
      </c>
      <c r="W31" s="308">
        <f t="shared" si="32"/>
        <v>226.18002292727817</v>
      </c>
      <c r="X31" s="312">
        <f t="shared" si="33"/>
        <v>270.44108534078441</v>
      </c>
      <c r="Y31" s="312">
        <f t="shared" si="34"/>
        <v>468.4177002643093</v>
      </c>
      <c r="Z31" s="440">
        <f t="shared" si="41"/>
        <v>186.45277740564165</v>
      </c>
      <c r="AD31" s="297"/>
      <c r="AE31" s="297"/>
    </row>
    <row r="32" spans="1:31">
      <c r="E32" s="303">
        <f t="shared" si="21"/>
        <v>3.2713224615500422</v>
      </c>
      <c r="F32" s="304">
        <f t="shared" si="39"/>
        <v>82.51818181818183</v>
      </c>
      <c r="G32" s="305">
        <f t="shared" si="22"/>
        <v>5.535262714245575E-2</v>
      </c>
      <c r="H32" s="304">
        <f t="shared" si="40"/>
        <v>129.84090909090912</v>
      </c>
      <c r="I32" s="307">
        <f t="shared" si="35"/>
        <v>2345.704545454546</v>
      </c>
      <c r="J32" s="308">
        <f t="shared" si="23"/>
        <v>169.31138537763701</v>
      </c>
      <c r="K32" s="307">
        <f t="shared" si="24"/>
        <v>689.26184135520168</v>
      </c>
      <c r="L32" s="331">
        <f t="shared" si="36"/>
        <v>21.78479894238184</v>
      </c>
      <c r="M32" s="307">
        <f t="shared" si="25"/>
        <v>298.42220625128567</v>
      </c>
      <c r="N32" s="307">
        <f t="shared" si="26"/>
        <v>299.21629408981875</v>
      </c>
      <c r="O32" s="309">
        <f t="shared" si="27"/>
        <v>1.0053247612775833</v>
      </c>
      <c r="P32" s="308">
        <f t="shared" si="27"/>
        <v>13.771586051952875</v>
      </c>
      <c r="Q32" s="310">
        <f t="shared" si="28"/>
        <v>13.808231612410795</v>
      </c>
      <c r="R32" s="309">
        <f t="shared" si="29"/>
        <v>10.967719777076294</v>
      </c>
      <c r="S32" s="308">
        <f t="shared" si="30"/>
        <v>150.24288918514628</v>
      </c>
      <c r="T32" s="310">
        <f t="shared" si="37"/>
        <v>150.64267863991472</v>
      </c>
      <c r="U32" s="311">
        <f t="shared" si="38"/>
        <v>200.19998964561134</v>
      </c>
      <c r="V32" s="308">
        <f t="shared" si="31"/>
        <v>-149.23756442386869</v>
      </c>
      <c r="W32" s="308">
        <f t="shared" si="32"/>
        <v>224.93929547464052</v>
      </c>
      <c r="X32" s="312">
        <f t="shared" si="33"/>
        <v>269.94358166808854</v>
      </c>
      <c r="Y32" s="312">
        <f t="shared" si="34"/>
        <v>467.55599862624791</v>
      </c>
      <c r="Z32" s="440">
        <f t="shared" si="41"/>
        <v>172.38393854498548</v>
      </c>
      <c r="AD32" s="297"/>
      <c r="AE32" s="297"/>
    </row>
    <row r="33" spans="5:31">
      <c r="E33" s="303">
        <f t="shared" si="21"/>
        <v>3.0037154372525272</v>
      </c>
      <c r="F33" s="304">
        <f t="shared" si="39"/>
        <v>89.781818181818196</v>
      </c>
      <c r="G33" s="305">
        <f t="shared" si="22"/>
        <v>5.1208634471894339E-2</v>
      </c>
      <c r="H33" s="304">
        <f t="shared" si="40"/>
        <v>131.20909090909095</v>
      </c>
      <c r="I33" s="307">
        <f t="shared" si="35"/>
        <v>2562.2454545454548</v>
      </c>
      <c r="J33" s="308">
        <f t="shared" si="23"/>
        <v>157.3229650425927</v>
      </c>
      <c r="K33" s="307">
        <f t="shared" si="24"/>
        <v>586.33088810402</v>
      </c>
      <c r="L33" s="331">
        <f t="shared" si="36"/>
        <v>20.022339003645197</v>
      </c>
      <c r="M33" s="307">
        <f t="shared" si="25"/>
        <v>276.08072944557921</v>
      </c>
      <c r="N33" s="307">
        <f t="shared" si="26"/>
        <v>276.80582224797945</v>
      </c>
      <c r="O33" s="309">
        <f t="shared" si="27"/>
        <v>0.92399077137673369</v>
      </c>
      <c r="P33" s="308">
        <f t="shared" si="27"/>
        <v>12.740571724224138</v>
      </c>
      <c r="Q33" s="310">
        <f t="shared" si="28"/>
        <v>12.774033302198996</v>
      </c>
      <c r="R33" s="309">
        <f t="shared" si="29"/>
        <v>10.967719777076292</v>
      </c>
      <c r="S33" s="308">
        <f t="shared" si="30"/>
        <v>151.22988757001195</v>
      </c>
      <c r="T33" s="310">
        <f t="shared" si="37"/>
        <v>151.62707466526854</v>
      </c>
      <c r="U33" s="311">
        <f t="shared" si="38"/>
        <v>200.19998964561131</v>
      </c>
      <c r="V33" s="308">
        <f t="shared" si="31"/>
        <v>-150.30589679863522</v>
      </c>
      <c r="W33" s="308">
        <f t="shared" si="32"/>
        <v>223.90828114691175</v>
      </c>
      <c r="X33" s="312">
        <f t="shared" si="33"/>
        <v>269.67903325732692</v>
      </c>
      <c r="Y33" s="312">
        <f t="shared" si="34"/>
        <v>467.09778733774721</v>
      </c>
      <c r="Z33" s="440">
        <f t="shared" si="41"/>
        <v>160.48534761398489</v>
      </c>
      <c r="AD33" s="297"/>
      <c r="AE33" s="297"/>
    </row>
    <row r="34" spans="5:31">
      <c r="E34" s="303">
        <f t="shared" si="21"/>
        <v>2.7780204490309259</v>
      </c>
      <c r="F34" s="304">
        <f t="shared" si="39"/>
        <v>97.045454545454561</v>
      </c>
      <c r="G34" s="305">
        <f t="shared" si="22"/>
        <v>4.7710494934839122E-2</v>
      </c>
      <c r="H34" s="304">
        <f t="shared" si="40"/>
        <v>132.57727272727277</v>
      </c>
      <c r="I34" s="307">
        <f t="shared" si="35"/>
        <v>2778.7863636363641</v>
      </c>
      <c r="J34" s="308">
        <f>3*(1-G34)/G34*$B$17/1000*M34^2/1000</f>
        <v>147.1164118552858</v>
      </c>
      <c r="K34" s="307">
        <f>J34/I34*1000*30/PI()</f>
        <v>505.56540358298395</v>
      </c>
      <c r="L34" s="331">
        <f>L33*F33/F34</f>
        <v>18.523711475409833</v>
      </c>
      <c r="M34" s="307">
        <f>U34/$B$17*1000*G34</f>
        <v>257.2212358259498</v>
      </c>
      <c r="N34" s="307">
        <f>(L34^2+M34^2)^0.5</f>
        <v>257.88736309996489</v>
      </c>
      <c r="O34" s="309">
        <f>$B$16*L34/1000</f>
        <v>0.85483211785635804</v>
      </c>
      <c r="P34" s="308">
        <f>$B$16*M34/1000</f>
        <v>11.870243934139101</v>
      </c>
      <c r="Q34" s="310">
        <f>N34*$B$16/1000</f>
        <v>11.900984371289836</v>
      </c>
      <c r="R34" s="309">
        <f>2*PI()*F34*$B$19*L34/1000</f>
        <v>10.967719777076292</v>
      </c>
      <c r="S34" s="308">
        <f>2*PI()*F34*$B$19*M34/1000</f>
        <v>152.29833605416042</v>
      </c>
      <c r="T34" s="310">
        <f t="shared" si="37"/>
        <v>152.69274390741185</v>
      </c>
      <c r="U34" s="311">
        <f>$B$21*2*PI()*F34*L34/1000</f>
        <v>200.19998964561131</v>
      </c>
      <c r="V34" s="308">
        <f>O34-S34</f>
        <v>-151.44350393630407</v>
      </c>
      <c r="W34" s="308">
        <f>P34+R34+U34</f>
        <v>223.0379533568267</v>
      </c>
      <c r="X34" s="312">
        <f>(W34^2+V34^2)^0.5</f>
        <v>269.59425721277398</v>
      </c>
      <c r="Y34" s="312">
        <f>X34*3^0.5</f>
        <v>466.95095092131675</v>
      </c>
      <c r="Z34" s="440">
        <f t="shared" si="41"/>
        <v>150.27803264293183</v>
      </c>
      <c r="AD34" s="297"/>
      <c r="AE34" s="297"/>
    </row>
    <row r="35" spans="5:31">
      <c r="E35" s="303">
        <f t="shared" si="21"/>
        <v>2.5851194105075863</v>
      </c>
      <c r="F35" s="304">
        <f t="shared" si="39"/>
        <v>104.30909090909093</v>
      </c>
      <c r="G35" s="305">
        <f t="shared" si="22"/>
        <v>4.4718136734185981E-2</v>
      </c>
      <c r="H35" s="304">
        <f t="shared" si="40"/>
        <v>133.9454545454546</v>
      </c>
      <c r="I35" s="307">
        <f t="shared" si="35"/>
        <v>2995.3272727272733</v>
      </c>
      <c r="J35" s="308">
        <f t="shared" si="23"/>
        <v>138.32269313179367</v>
      </c>
      <c r="K35" s="307">
        <f t="shared" si="24"/>
        <v>440.98166943200897</v>
      </c>
      <c r="L35" s="331">
        <f t="shared" si="36"/>
        <v>17.233799895415721</v>
      </c>
      <c r="M35" s="307">
        <f t="shared" si="25"/>
        <v>241.08855735641947</v>
      </c>
      <c r="N35" s="307">
        <f t="shared" si="26"/>
        <v>241.70373672542755</v>
      </c>
      <c r="O35" s="309">
        <f t="shared" si="27"/>
        <v>0.79530528657108446</v>
      </c>
      <c r="P35" s="308">
        <f t="shared" si="27"/>
        <v>11.125753192037473</v>
      </c>
      <c r="Q35" s="310">
        <f t="shared" si="28"/>
        <v>11.154142485596099</v>
      </c>
      <c r="R35" s="309">
        <f t="shared" si="29"/>
        <v>10.967719777076294</v>
      </c>
      <c r="S35" s="308">
        <f t="shared" si="30"/>
        <v>153.43056984479452</v>
      </c>
      <c r="T35" s="310">
        <f t="shared" si="37"/>
        <v>153.82207461871928</v>
      </c>
      <c r="U35" s="311">
        <f t="shared" si="38"/>
        <v>200.19998964561134</v>
      </c>
      <c r="V35" s="308">
        <f t="shared" si="31"/>
        <v>-152.63526455822344</v>
      </c>
      <c r="W35" s="308">
        <f t="shared" si="32"/>
        <v>222.29346261472512</v>
      </c>
      <c r="X35" s="312">
        <f t="shared" si="33"/>
        <v>269.65145560149136</v>
      </c>
      <c r="Y35" s="312">
        <f t="shared" si="34"/>
        <v>467.05002143668634</v>
      </c>
      <c r="Z35" s="440">
        <f t="shared" si="41"/>
        <v>141.41592292516114</v>
      </c>
      <c r="AD35" s="297"/>
      <c r="AE35" s="297"/>
    </row>
    <row r="36" spans="5:31">
      <c r="E36" s="303">
        <f t="shared" si="21"/>
        <v>2.4183600155399647</v>
      </c>
      <c r="F36" s="304">
        <f t="shared" si="39"/>
        <v>111.57272727272729</v>
      </c>
      <c r="G36" s="305">
        <f t="shared" si="22"/>
        <v>4.2129262069229047E-2</v>
      </c>
      <c r="H36" s="304">
        <f t="shared" si="40"/>
        <v>135.31363636363642</v>
      </c>
      <c r="I36" s="307">
        <f t="shared" si="35"/>
        <v>3211.8681818181826</v>
      </c>
      <c r="J36" s="308">
        <f t="shared" si="23"/>
        <v>130.66791530677634</v>
      </c>
      <c r="K36" s="307">
        <f t="shared" si="24"/>
        <v>388.49249310376274</v>
      </c>
      <c r="L36" s="331">
        <f t="shared" si="36"/>
        <v>16.111840625763872</v>
      </c>
      <c r="M36" s="307">
        <f t="shared" si="25"/>
        <v>227.13117666631788</v>
      </c>
      <c r="N36" s="307">
        <f t="shared" si="26"/>
        <v>227.70191659750279</v>
      </c>
      <c r="O36" s="309">
        <f t="shared" si="27"/>
        <v>0.74352911742170813</v>
      </c>
      <c r="P36" s="308">
        <f t="shared" si="27"/>
        <v>10.481648077849876</v>
      </c>
      <c r="Q36" s="310">
        <f t="shared" si="28"/>
        <v>10.50798658051807</v>
      </c>
      <c r="R36" s="309">
        <f t="shared" si="29"/>
        <v>10.967719777076294</v>
      </c>
      <c r="S36" s="308">
        <f t="shared" si="30"/>
        <v>154.61368791907842</v>
      </c>
      <c r="T36" s="310">
        <f t="shared" si="37"/>
        <v>155.00220440060406</v>
      </c>
      <c r="U36" s="311">
        <f t="shared" si="38"/>
        <v>200.19998964561137</v>
      </c>
      <c r="V36" s="308">
        <f t="shared" si="31"/>
        <v>-153.87015880165671</v>
      </c>
      <c r="W36" s="308">
        <f t="shared" si="32"/>
        <v>221.64935750053755</v>
      </c>
      <c r="X36" s="312">
        <f t="shared" si="33"/>
        <v>269.82302246110902</v>
      </c>
      <c r="Y36" s="312">
        <f t="shared" si="34"/>
        <v>467.34718395443917</v>
      </c>
      <c r="Z36" s="440">
        <f t="shared" si="41"/>
        <v>133.64245101828533</v>
      </c>
      <c r="AD36" s="297"/>
      <c r="AE36" s="297"/>
    </row>
    <row r="37" spans="5:31">
      <c r="E37" s="303">
        <f t="shared" si="21"/>
        <v>2.2727750401453086</v>
      </c>
      <c r="F37" s="304">
        <f t="shared" si="39"/>
        <v>118.83636363636366</v>
      </c>
      <c r="G37" s="305">
        <f t="shared" si="22"/>
        <v>3.9867417964865766E-2</v>
      </c>
      <c r="H37" s="304">
        <f t="shared" si="40"/>
        <v>136.68181818181824</v>
      </c>
      <c r="I37" s="307">
        <f t="shared" si="35"/>
        <v>3428.4090909090919</v>
      </c>
      <c r="J37" s="308">
        <f t="shared" si="23"/>
        <v>123.94457453256784</v>
      </c>
      <c r="K37" s="307">
        <f t="shared" si="24"/>
        <v>345.2282008921394</v>
      </c>
      <c r="L37" s="331">
        <f t="shared" si="36"/>
        <v>15.127036413708691</v>
      </c>
      <c r="M37" s="307">
        <f t="shared" si="25"/>
        <v>214.93691340066641</v>
      </c>
      <c r="N37" s="307">
        <f t="shared" si="26"/>
        <v>215.46856841049288</v>
      </c>
      <c r="O37" s="309">
        <f t="shared" si="27"/>
        <v>0.69808237898688996</v>
      </c>
      <c r="P37" s="308">
        <f t="shared" si="27"/>
        <v>9.9189072952095962</v>
      </c>
      <c r="Q37" s="310">
        <f t="shared" si="28"/>
        <v>9.94344210717869</v>
      </c>
      <c r="R37" s="309">
        <f t="shared" si="29"/>
        <v>10.967719777076294</v>
      </c>
      <c r="S37" s="308">
        <f t="shared" si="30"/>
        <v>155.83804860758372</v>
      </c>
      <c r="T37" s="310">
        <f t="shared" si="37"/>
        <v>156.22352022319848</v>
      </c>
      <c r="U37" s="311">
        <f t="shared" si="38"/>
        <v>200.1999896456114</v>
      </c>
      <c r="V37" s="308">
        <f t="shared" si="31"/>
        <v>-155.13996622859682</v>
      </c>
      <c r="W37" s="308">
        <f t="shared" si="32"/>
        <v>221.0866167178973</v>
      </c>
      <c r="X37" s="312">
        <f t="shared" si="33"/>
        <v>270.08832113435892</v>
      </c>
      <c r="Y37" s="312">
        <f t="shared" si="34"/>
        <v>467.80669473568861</v>
      </c>
      <c r="Z37" s="440">
        <f t="shared" si="41"/>
        <v>126.76318508926529</v>
      </c>
      <c r="AD37" s="295"/>
      <c r="AE37" s="295"/>
    </row>
    <row r="38" spans="5:31">
      <c r="E38" s="303">
        <f t="shared" si="21"/>
        <v>2.1445805841451353</v>
      </c>
      <c r="F38" s="304">
        <f t="shared" si="39"/>
        <v>126.10000000000002</v>
      </c>
      <c r="G38" s="305">
        <f t="shared" si="22"/>
        <v>3.7874319263638746E-2</v>
      </c>
      <c r="H38" s="304">
        <f t="shared" si="40"/>
        <v>138.05000000000007</v>
      </c>
      <c r="I38" s="307">
        <f t="shared" si="35"/>
        <v>3644.9500000000007</v>
      </c>
      <c r="J38" s="308">
        <f t="shared" si="23"/>
        <v>117.99262054630682</v>
      </c>
      <c r="K38" s="307">
        <f t="shared" si="24"/>
        <v>309.12537305001814</v>
      </c>
      <c r="L38" s="331">
        <f t="shared" si="36"/>
        <v>14.255685963521016</v>
      </c>
      <c r="M38" s="307">
        <f t="shared" si="25"/>
        <v>204.19153522437858</v>
      </c>
      <c r="N38" s="307">
        <f t="shared" si="26"/>
        <v>204.6885625519393</v>
      </c>
      <c r="O38" s="309">
        <f t="shared" si="27"/>
        <v>0.65787130402397986</v>
      </c>
      <c r="P38" s="308">
        <f t="shared" si="27"/>
        <v>9.4230296523410306</v>
      </c>
      <c r="Q38" s="310">
        <f t="shared" si="28"/>
        <v>9.44596646625196</v>
      </c>
      <c r="R38" s="309">
        <f t="shared" si="29"/>
        <v>10.967719777076294</v>
      </c>
      <c r="S38" s="308">
        <f t="shared" si="30"/>
        <v>157.09630142826529</v>
      </c>
      <c r="T38" s="310">
        <f t="shared" si="37"/>
        <v>157.47869316053158</v>
      </c>
      <c r="U38" s="311">
        <f t="shared" si="38"/>
        <v>200.19998964561137</v>
      </c>
      <c r="V38" s="308">
        <f t="shared" si="31"/>
        <v>-156.43843012424131</v>
      </c>
      <c r="W38" s="308">
        <f t="shared" si="32"/>
        <v>220.59073907502869</v>
      </c>
      <c r="X38" s="312">
        <f t="shared" si="33"/>
        <v>270.43161166070161</v>
      </c>
      <c r="Y38" s="312">
        <f t="shared" si="34"/>
        <v>468.4012913690712</v>
      </c>
      <c r="Z38" s="440">
        <f t="shared" si="41"/>
        <v>120.62796567510962</v>
      </c>
      <c r="AD38" s="295"/>
      <c r="AE38" s="295"/>
    </row>
    <row r="39" spans="5:31">
      <c r="E39" s="303">
        <f t="shared" si="21"/>
        <v>2.0308435169481212</v>
      </c>
      <c r="F39" s="304">
        <f t="shared" si="39"/>
        <v>133.36363636363637</v>
      </c>
      <c r="G39" s="305">
        <f t="shared" si="22"/>
        <v>3.6104754640223766E-2</v>
      </c>
      <c r="H39" s="304">
        <f t="shared" si="40"/>
        <v>139.41818181818189</v>
      </c>
      <c r="I39" s="307">
        <f t="shared" si="35"/>
        <v>3861.4909090909091</v>
      </c>
      <c r="J39" s="308">
        <f t="shared" si="23"/>
        <v>112.68664269957443</v>
      </c>
      <c r="K39" s="307">
        <f t="shared" si="24"/>
        <v>278.66909380278361</v>
      </c>
      <c r="L39" s="331">
        <f t="shared" si="36"/>
        <v>13.479251533742332</v>
      </c>
      <c r="M39" s="307">
        <f t="shared" si="25"/>
        <v>194.65129465612762</v>
      </c>
      <c r="N39" s="307">
        <f t="shared" si="26"/>
        <v>195.11744343655312</v>
      </c>
      <c r="O39" s="309">
        <f t="shared" si="27"/>
        <v>0.62204041295955181</v>
      </c>
      <c r="P39" s="308">
        <f t="shared" si="27"/>
        <v>8.9827666920458853</v>
      </c>
      <c r="Q39" s="310">
        <f t="shared" si="28"/>
        <v>9.0042785229625064</v>
      </c>
      <c r="R39" s="309">
        <f t="shared" si="29"/>
        <v>10.967719777076292</v>
      </c>
      <c r="S39" s="308">
        <f t="shared" si="30"/>
        <v>158.38274467163944</v>
      </c>
      <c r="T39" s="310">
        <f t="shared" si="37"/>
        <v>158.76203792730234</v>
      </c>
      <c r="U39" s="311">
        <f t="shared" si="38"/>
        <v>200.19998964561134</v>
      </c>
      <c r="V39" s="308">
        <f t="shared" si="31"/>
        <v>-157.76070425867988</v>
      </c>
      <c r="W39" s="308">
        <f t="shared" si="32"/>
        <v>220.15047611473352</v>
      </c>
      <c r="X39" s="312">
        <f t="shared" si="33"/>
        <v>270.84067630571764</v>
      </c>
      <c r="Y39" s="312">
        <f t="shared" si="34"/>
        <v>469.1098121178191</v>
      </c>
      <c r="Z39" s="440">
        <f t="shared" si="41"/>
        <v>115.11889602155912</v>
      </c>
      <c r="AD39" s="295"/>
      <c r="AE39" s="295"/>
    </row>
    <row r="40" spans="5:31">
      <c r="E40" s="303">
        <f t="shared" si="21"/>
        <v>1.9292551025544866</v>
      </c>
      <c r="F40" s="304">
        <f t="shared" si="39"/>
        <v>140.62727272727273</v>
      </c>
      <c r="G40" s="305">
        <f t="shared" si="22"/>
        <v>3.4523115540362068E-2</v>
      </c>
      <c r="H40" s="304">
        <f t="shared" si="40"/>
        <v>140.78636363636372</v>
      </c>
      <c r="I40" s="307">
        <f t="shared" si="35"/>
        <v>4078.0318181818184</v>
      </c>
      <c r="J40" s="308">
        <f t="shared" si="23"/>
        <v>107.92699025301833</v>
      </c>
      <c r="K40" s="307">
        <f t="shared" si="24"/>
        <v>252.72653217488218</v>
      </c>
      <c r="L40" s="331">
        <f t="shared" si="36"/>
        <v>12.783025405650012</v>
      </c>
      <c r="M40" s="307">
        <f t="shared" si="25"/>
        <v>186.1242155626766</v>
      </c>
      <c r="N40" s="307">
        <f t="shared" si="26"/>
        <v>186.5626687130713</v>
      </c>
      <c r="O40" s="309">
        <f t="shared" si="27"/>
        <v>0.58991097408472593</v>
      </c>
      <c r="P40" s="308">
        <f t="shared" si="27"/>
        <v>8.5892591009640533</v>
      </c>
      <c r="Q40" s="310">
        <f t="shared" si="28"/>
        <v>8.6094928341243993</v>
      </c>
      <c r="R40" s="309">
        <f t="shared" si="29"/>
        <v>10.967719777076294</v>
      </c>
      <c r="S40" s="308">
        <f t="shared" si="30"/>
        <v>159.69288765688543</v>
      </c>
      <c r="T40" s="310">
        <f t="shared" si="37"/>
        <v>160.06907648044671</v>
      </c>
      <c r="U40" s="311">
        <f t="shared" si="38"/>
        <v>200.19998964561137</v>
      </c>
      <c r="V40" s="308">
        <f t="shared" si="31"/>
        <v>-159.10297668280072</v>
      </c>
      <c r="W40" s="308">
        <f t="shared" si="32"/>
        <v>219.75696852365172</v>
      </c>
      <c r="X40" s="312">
        <f t="shared" si="33"/>
        <v>271.30588346741229</v>
      </c>
      <c r="Y40" s="312">
        <f t="shared" si="34"/>
        <v>469.91557455791911</v>
      </c>
      <c r="Z40" s="440">
        <f t="shared" si="41"/>
        <v>110.14205764417149</v>
      </c>
    </row>
    <row r="41" spans="5:31">
      <c r="E41" s="303">
        <f t="shared" si="21"/>
        <v>1.8379732516990652</v>
      </c>
      <c r="F41" s="304">
        <f t="shared" si="39"/>
        <v>147.89090909090908</v>
      </c>
      <c r="G41" s="305">
        <f t="shared" si="22"/>
        <v>3.3100975226660313E-2</v>
      </c>
      <c r="H41" s="304">
        <f t="shared" si="40"/>
        <v>142.15454545454554</v>
      </c>
      <c r="I41" s="307">
        <f t="shared" si="35"/>
        <v>4294.5727272727263</v>
      </c>
      <c r="J41" s="308">
        <f t="shared" si="23"/>
        <v>103.63348799775343</v>
      </c>
      <c r="K41" s="307">
        <f t="shared" si="24"/>
        <v>230.43664083208759</v>
      </c>
      <c r="L41" s="331">
        <f t="shared" si="36"/>
        <v>12.155189328743548</v>
      </c>
      <c r="M41" s="307">
        <f t="shared" si="25"/>
        <v>178.45704108653945</v>
      </c>
      <c r="N41" s="307">
        <f t="shared" si="26"/>
        <v>178.87052339885528</v>
      </c>
      <c r="O41" s="309">
        <f t="shared" si="27"/>
        <v>0.56093759885152605</v>
      </c>
      <c r="P41" s="308">
        <f t="shared" si="27"/>
        <v>8.2354343826233922</v>
      </c>
      <c r="Q41" s="310">
        <f t="shared" si="28"/>
        <v>8.2545157617089142</v>
      </c>
      <c r="R41" s="309">
        <f t="shared" si="29"/>
        <v>10.967719777076292</v>
      </c>
      <c r="S41" s="308">
        <f t="shared" si="30"/>
        <v>161.02314541946123</v>
      </c>
      <c r="T41" s="310">
        <f t="shared" si="37"/>
        <v>161.39623365458507</v>
      </c>
      <c r="U41" s="311">
        <f t="shared" si="38"/>
        <v>200.19998964561137</v>
      </c>
      <c r="V41" s="308">
        <f t="shared" si="31"/>
        <v>-160.46220782060971</v>
      </c>
      <c r="W41" s="308">
        <f t="shared" si="32"/>
        <v>219.40314380531106</v>
      </c>
      <c r="X41" s="312">
        <f t="shared" si="33"/>
        <v>271.81953507854899</v>
      </c>
      <c r="Y41" s="312">
        <f t="shared" si="34"/>
        <v>470.80524524579755</v>
      </c>
      <c r="Z41" s="440">
        <f t="shared" si="41"/>
        <v>105.62166531122071</v>
      </c>
    </row>
    <row r="42" spans="5:31">
      <c r="E42" s="303">
        <f t="shared" si="21"/>
        <v>1.7555102968917542</v>
      </c>
      <c r="F42" s="304">
        <f t="shared" si="39"/>
        <v>155.15454545454543</v>
      </c>
      <c r="G42" s="305">
        <f t="shared" si="22"/>
        <v>3.1815365083203623E-2</v>
      </c>
      <c r="H42" s="304">
        <f t="shared" si="40"/>
        <v>143.52272727272737</v>
      </c>
      <c r="I42" s="307">
        <f t="shared" si="35"/>
        <v>4511.113636363636</v>
      </c>
      <c r="J42" s="308">
        <f t="shared" si="23"/>
        <v>99.740904274710431</v>
      </c>
      <c r="K42" s="307">
        <f t="shared" si="24"/>
        <v>211.13533229331551</v>
      </c>
      <c r="L42" s="331">
        <f t="shared" si="36"/>
        <v>11.58613816136404</v>
      </c>
      <c r="M42" s="307">
        <f t="shared" si="25"/>
        <v>171.52594069988567</v>
      </c>
      <c r="N42" s="307">
        <f t="shared" si="26"/>
        <v>171.91680235065712</v>
      </c>
      <c r="O42" s="309">
        <f t="shared" si="27"/>
        <v>0.53467702924454374</v>
      </c>
      <c r="P42" s="308">
        <f t="shared" si="27"/>
        <v>7.9155780066231731</v>
      </c>
      <c r="Q42" s="310">
        <f t="shared" si="28"/>
        <v>7.9336154875654419</v>
      </c>
      <c r="R42" s="309">
        <f t="shared" si="29"/>
        <v>10.967719777076294</v>
      </c>
      <c r="S42" s="308">
        <f t="shared" si="30"/>
        <v>162.37062133171312</v>
      </c>
      <c r="T42" s="310">
        <f t="shared" si="37"/>
        <v>162.74062046322376</v>
      </c>
      <c r="U42" s="311">
        <f t="shared" si="38"/>
        <v>200.19998964561137</v>
      </c>
      <c r="V42" s="308">
        <f t="shared" si="31"/>
        <v>-161.83594430246859</v>
      </c>
      <c r="W42" s="308">
        <f t="shared" si="32"/>
        <v>219.08328742931084</v>
      </c>
      <c r="X42" s="312">
        <f t="shared" si="33"/>
        <v>272.37540215501423</v>
      </c>
      <c r="Y42" s="312">
        <f t="shared" si="34"/>
        <v>471.76803526449009</v>
      </c>
      <c r="Z42" s="440">
        <f t="shared" si="41"/>
        <v>101.49586009054057</v>
      </c>
      <c r="AD42" s="295"/>
      <c r="AE42" s="295"/>
    </row>
    <row r="43" spans="5:31">
      <c r="E43" s="303">
        <f t="shared" si="21"/>
        <v>1.6806516675304615</v>
      </c>
      <c r="F43" s="304">
        <f t="shared" si="39"/>
        <v>162.41818181818178</v>
      </c>
      <c r="G43" s="305">
        <f t="shared" si="22"/>
        <v>3.0647524623011249E-2</v>
      </c>
      <c r="H43" s="304">
        <f t="shared" si="40"/>
        <v>144.89090909090919</v>
      </c>
      <c r="I43" s="307">
        <f t="shared" si="35"/>
        <v>4727.6545454545439</v>
      </c>
      <c r="J43" s="308">
        <f t="shared" si="23"/>
        <v>96.195627147281343</v>
      </c>
      <c r="K43" s="307">
        <f t="shared" si="24"/>
        <v>194.30365840543138</v>
      </c>
      <c r="L43" s="331">
        <f t="shared" si="36"/>
        <v>11.067984999440283</v>
      </c>
      <c r="M43" s="307">
        <f t="shared" si="25"/>
        <v>165.22977112905031</v>
      </c>
      <c r="N43" s="307">
        <f t="shared" si="26"/>
        <v>165.60005301722032</v>
      </c>
      <c r="O43" s="309">
        <f t="shared" si="27"/>
        <v>0.51076530046550028</v>
      </c>
      <c r="P43" s="308">
        <f t="shared" si="27"/>
        <v>7.6250224138217648</v>
      </c>
      <c r="Q43" s="310">
        <f t="shared" si="28"/>
        <v>7.6421101800120557</v>
      </c>
      <c r="R43" s="309">
        <f t="shared" si="29"/>
        <v>10.967719777076294</v>
      </c>
      <c r="S43" s="308">
        <f t="shared" si="30"/>
        <v>163.73294946329608</v>
      </c>
      <c r="T43" s="310">
        <f t="shared" si="37"/>
        <v>164.09987695625716</v>
      </c>
      <c r="U43" s="311">
        <f t="shared" si="38"/>
        <v>200.19998964561137</v>
      </c>
      <c r="V43" s="308">
        <f t="shared" si="31"/>
        <v>-163.22218416283059</v>
      </c>
      <c r="W43" s="308">
        <f t="shared" si="32"/>
        <v>218.79273183650943</v>
      </c>
      <c r="X43" s="312">
        <f t="shared" si="33"/>
        <v>272.96838810999287</v>
      </c>
      <c r="Y43" s="312">
        <f t="shared" si="34"/>
        <v>472.79511706668785</v>
      </c>
      <c r="Z43" s="440">
        <f t="shared" si="41"/>
        <v>97.713627123573502</v>
      </c>
      <c r="AD43" s="295"/>
      <c r="AE43" s="295"/>
    </row>
    <row r="44" spans="5:31">
      <c r="E44" s="303">
        <f t="shared" si="21"/>
        <v>1.6123959747694583</v>
      </c>
      <c r="F44" s="304">
        <f t="shared" si="39"/>
        <v>169.68181818181813</v>
      </c>
      <c r="G44" s="305">
        <f t="shared" si="22"/>
        <v>2.9581979971003678E-2</v>
      </c>
      <c r="H44" s="304">
        <f t="shared" si="40"/>
        <v>146.25909090909101</v>
      </c>
      <c r="I44" s="307">
        <f t="shared" si="35"/>
        <v>4944.1954545454528</v>
      </c>
      <c r="J44" s="308">
        <f t="shared" si="23"/>
        <v>92.953189272529215</v>
      </c>
      <c r="K44" s="307">
        <f t="shared" si="24"/>
        <v>179.53124650780606</v>
      </c>
      <c r="L44" s="331">
        <f t="shared" si="36"/>
        <v>10.594193410125909</v>
      </c>
      <c r="M44" s="307">
        <f t="shared" si="25"/>
        <v>159.48510818662126</v>
      </c>
      <c r="N44" s="307">
        <f t="shared" si="26"/>
        <v>159.83659364272452</v>
      </c>
      <c r="O44" s="309">
        <f t="shared" si="27"/>
        <v>0.48890076925350273</v>
      </c>
      <c r="P44" s="308">
        <f t="shared" si="27"/>
        <v>7.3599177453558084</v>
      </c>
      <c r="Q44" s="310">
        <f t="shared" si="28"/>
        <v>7.3761380939201509</v>
      </c>
      <c r="R44" s="309">
        <f t="shared" si="29"/>
        <v>10.967719777076294</v>
      </c>
      <c r="S44" s="308">
        <f t="shared" si="30"/>
        <v>165.10817836643307</v>
      </c>
      <c r="T44" s="310">
        <f t="shared" si="37"/>
        <v>165.47205637384926</v>
      </c>
      <c r="U44" s="311">
        <f t="shared" si="38"/>
        <v>200.19998964561137</v>
      </c>
      <c r="V44" s="308">
        <f t="shared" si="31"/>
        <v>-164.61927759717958</v>
      </c>
      <c r="W44" s="308">
        <f t="shared" si="32"/>
        <v>218.52762716804347</v>
      </c>
      <c r="X44" s="312">
        <f t="shared" si="33"/>
        <v>273.59428062792665</v>
      </c>
      <c r="Y44" s="312">
        <f t="shared" si="34"/>
        <v>473.87919470782634</v>
      </c>
      <c r="Z44" s="440">
        <f t="shared" si="41"/>
        <v>94.232501170926355</v>
      </c>
      <c r="AD44" s="295"/>
      <c r="AE44" s="295"/>
    </row>
    <row r="45" spans="5:31">
      <c r="E45" s="303">
        <f t="shared" si="21"/>
        <v>1.5499102068959576</v>
      </c>
      <c r="F45" s="304">
        <f t="shared" si="39"/>
        <v>176.94545454545448</v>
      </c>
      <c r="G45" s="305">
        <f t="shared" si="22"/>
        <v>2.860585434425323E-2</v>
      </c>
      <c r="H45" s="304">
        <f t="shared" si="40"/>
        <v>147.62727272727284</v>
      </c>
      <c r="I45" s="307">
        <f t="shared" si="35"/>
        <v>5160.7363636363616</v>
      </c>
      <c r="J45" s="308">
        <f t="shared" si="23"/>
        <v>89.976399157911004</v>
      </c>
      <c r="K45" s="307">
        <f t="shared" si="24"/>
        <v>166.49006279600789</v>
      </c>
      <c r="L45" s="331">
        <f t="shared" si="36"/>
        <v>10.15930024660913</v>
      </c>
      <c r="M45" s="307">
        <f t="shared" si="25"/>
        <v>154.22252936875225</v>
      </c>
      <c r="N45" s="307">
        <f t="shared" si="26"/>
        <v>154.55678550745159</v>
      </c>
      <c r="O45" s="309">
        <f t="shared" si="27"/>
        <v>0.46883132234466857</v>
      </c>
      <c r="P45" s="308">
        <f t="shared" si="27"/>
        <v>7.1170602919649539</v>
      </c>
      <c r="Q45" s="310">
        <f t="shared" si="28"/>
        <v>7.1324855421007145</v>
      </c>
      <c r="R45" s="309">
        <f t="shared" si="29"/>
        <v>10.967719777076296</v>
      </c>
      <c r="S45" s="308">
        <f t="shared" si="30"/>
        <v>166.49468411891417</v>
      </c>
      <c r="T45" s="310">
        <f t="shared" si="37"/>
        <v>166.85553846655938</v>
      </c>
      <c r="U45" s="311">
        <f t="shared" si="38"/>
        <v>200.19998964561134</v>
      </c>
      <c r="V45" s="308">
        <f t="shared" si="31"/>
        <v>-166.0258527965695</v>
      </c>
      <c r="W45" s="308">
        <f t="shared" si="32"/>
        <v>218.28476971465258</v>
      </c>
      <c r="X45" s="312">
        <f t="shared" si="33"/>
        <v>274.24956606384461</v>
      </c>
      <c r="Y45" s="312">
        <f t="shared" si="34"/>
        <v>475.01418237629622</v>
      </c>
      <c r="Z45" s="440">
        <f t="shared" si="41"/>
        <v>91.016833870031562</v>
      </c>
      <c r="AD45" s="295"/>
      <c r="AE45" s="295"/>
    </row>
    <row r="46" spans="5:31">
      <c r="E46" s="303">
        <f t="shared" si="21"/>
        <v>1.4924957686449183</v>
      </c>
      <c r="F46" s="304">
        <f t="shared" si="39"/>
        <v>184.20909090909083</v>
      </c>
      <c r="G46" s="305">
        <f t="shared" si="22"/>
        <v>2.7708345132421732E-2</v>
      </c>
      <c r="H46" s="304">
        <f t="shared" si="40"/>
        <v>148.99545454545466</v>
      </c>
      <c r="I46" s="307">
        <f t="shared" si="35"/>
        <v>5377.2772727272704</v>
      </c>
      <c r="J46" s="308">
        <f t="shared" si="23"/>
        <v>87.23391240058595</v>
      </c>
      <c r="K46" s="307">
        <f t="shared" si="24"/>
        <v>154.91529626952314</v>
      </c>
      <c r="L46" s="331">
        <f t="shared" si="36"/>
        <v>9.7587040418496827</v>
      </c>
      <c r="M46" s="307">
        <f t="shared" si="25"/>
        <v>149.38379464282312</v>
      </c>
      <c r="N46" s="307">
        <f t="shared" si="26"/>
        <v>149.70220575016776</v>
      </c>
      <c r="O46" s="309">
        <f t="shared" si="27"/>
        <v>0.45034461126766179</v>
      </c>
      <c r="P46" s="308">
        <f t="shared" si="27"/>
        <v>6.8937623929989709</v>
      </c>
      <c r="Q46" s="310">
        <f t="shared" si="28"/>
        <v>6.9084564267298312</v>
      </c>
      <c r="R46" s="309">
        <f t="shared" si="29"/>
        <v>10.967719777076296</v>
      </c>
      <c r="S46" s="308">
        <f t="shared" si="30"/>
        <v>167.8911043774466</v>
      </c>
      <c r="T46" s="310">
        <f t="shared" si="37"/>
        <v>168.24896375962362</v>
      </c>
      <c r="U46" s="311">
        <f t="shared" si="38"/>
        <v>200.19998964561137</v>
      </c>
      <c r="V46" s="308">
        <f t="shared" si="31"/>
        <v>-167.44075976617893</v>
      </c>
      <c r="W46" s="308">
        <f t="shared" si="32"/>
        <v>218.06147181568664</v>
      </c>
      <c r="X46" s="312">
        <f t="shared" si="33"/>
        <v>274.93128872774514</v>
      </c>
      <c r="Y46" s="312">
        <f t="shared" si="34"/>
        <v>476.19496066684309</v>
      </c>
      <c r="Z46" s="440">
        <f t="shared" si="41"/>
        <v>88.03646803506139</v>
      </c>
      <c r="AD46" s="295"/>
      <c r="AE46" s="295"/>
    </row>
    <row r="47" spans="5:31">
      <c r="E47" s="334">
        <f t="shared" si="21"/>
        <v>1.4395624212760949</v>
      </c>
      <c r="F47" s="304">
        <f t="shared" si="39"/>
        <v>191.47272727272718</v>
      </c>
      <c r="G47" s="335">
        <f t="shared" si="22"/>
        <v>2.6880322433855592E-2</v>
      </c>
      <c r="H47" s="304">
        <f t="shared" si="40"/>
        <v>150.36363636363649</v>
      </c>
      <c r="I47" s="307">
        <f t="shared" si="35"/>
        <v>5593.8181818181783</v>
      </c>
      <c r="J47" s="336">
        <f t="shared" si="23"/>
        <v>84.699126690627907</v>
      </c>
      <c r="K47" s="337">
        <f t="shared" si="24"/>
        <v>144.59123536258991</v>
      </c>
      <c r="L47" s="338">
        <f t="shared" si="36"/>
        <v>9.3885015668027787</v>
      </c>
      <c r="M47" s="337">
        <f t="shared" si="25"/>
        <v>144.91968203808059</v>
      </c>
      <c r="N47" s="337">
        <f t="shared" si="26"/>
        <v>145.22347676490961</v>
      </c>
      <c r="O47" s="339">
        <f t="shared" si="27"/>
        <v>0.43326050983366393</v>
      </c>
      <c r="P47" s="336">
        <f t="shared" si="27"/>
        <v>6.687752553268572</v>
      </c>
      <c r="Q47" s="340">
        <f t="shared" si="28"/>
        <v>6.701772070365541</v>
      </c>
      <c r="R47" s="339">
        <f t="shared" si="29"/>
        <v>10.967719777076294</v>
      </c>
      <c r="S47" s="336">
        <f t="shared" si="30"/>
        <v>169.29628774807165</v>
      </c>
      <c r="T47" s="310">
        <f t="shared" si="37"/>
        <v>169.65118308572551</v>
      </c>
      <c r="U47" s="341">
        <f t="shared" si="38"/>
        <v>200.19998964561137</v>
      </c>
      <c r="V47" s="336">
        <f t="shared" si="31"/>
        <v>-168.86302723823798</v>
      </c>
      <c r="W47" s="336">
        <f t="shared" si="32"/>
        <v>217.85546197595625</v>
      </c>
      <c r="X47" s="342">
        <f t="shared" si="33"/>
        <v>275.6369428810645</v>
      </c>
      <c r="Y47" s="342">
        <f t="shared" si="34"/>
        <v>477.41718951296423</v>
      </c>
      <c r="Z47" s="440">
        <f t="shared" si="41"/>
        <v>85.265711275105488</v>
      </c>
      <c r="AD47" s="295"/>
      <c r="AE47" s="295"/>
    </row>
    <row r="48" spans="5:31" ht="15.75" thickBot="1">
      <c r="E48" s="303">
        <f t="shared" si="21"/>
        <v>1.3906080590771766</v>
      </c>
      <c r="F48" s="304">
        <f t="shared" si="39"/>
        <v>198.73636363636354</v>
      </c>
      <c r="G48" s="305">
        <f>H48/I48</f>
        <v>2.6114017362406833E-2</v>
      </c>
      <c r="H48" s="304">
        <f t="shared" si="40"/>
        <v>151.73181818181831</v>
      </c>
      <c r="I48" s="307">
        <f>F48*120/$B$3-H48</f>
        <v>5810.3590909090881</v>
      </c>
      <c r="J48" s="308">
        <f t="shared" si="23"/>
        <v>82.349318146694515</v>
      </c>
      <c r="K48" s="307">
        <f t="shared" si="24"/>
        <v>135.34069930858206</v>
      </c>
      <c r="L48" s="331">
        <f t="shared" si="36"/>
        <v>9.0453602305475567</v>
      </c>
      <c r="M48" s="307">
        <f t="shared" si="25"/>
        <v>140.78830721652514</v>
      </c>
      <c r="N48" s="307">
        <f t="shared" si="26"/>
        <v>141.07858090651123</v>
      </c>
      <c r="O48" s="309">
        <f t="shared" si="27"/>
        <v>0.41742522565832446</v>
      </c>
      <c r="P48" s="308">
        <f t="shared" si="27"/>
        <v>6.4970978946135336</v>
      </c>
      <c r="Q48" s="310">
        <f t="shared" si="28"/>
        <v>6.5104934429893646</v>
      </c>
      <c r="R48" s="309">
        <f t="shared" si="29"/>
        <v>10.967719777076294</v>
      </c>
      <c r="S48" s="308">
        <f t="shared" si="30"/>
        <v>170.70925447778467</v>
      </c>
      <c r="T48" s="310">
        <f t="shared" si="37"/>
        <v>171.06121840285576</v>
      </c>
      <c r="U48" s="311">
        <f t="shared" si="38"/>
        <v>200.19998964561137</v>
      </c>
      <c r="V48" s="308">
        <f t="shared" si="31"/>
        <v>-170.29182925212635</v>
      </c>
      <c r="W48" s="308">
        <f t="shared" si="32"/>
        <v>217.66480731730121</v>
      </c>
      <c r="X48" s="312">
        <f t="shared" si="33"/>
        <v>276.36438890441946</v>
      </c>
      <c r="Y48" s="312">
        <f t="shared" si="34"/>
        <v>478.67716298517894</v>
      </c>
      <c r="Z48" s="440">
        <f t="shared" si="41"/>
        <v>82.682532679824533</v>
      </c>
      <c r="AD48" s="295"/>
      <c r="AE48" s="295"/>
    </row>
    <row r="49" spans="4:31" ht="15.75" thickBot="1">
      <c r="D49" s="327" t="s">
        <v>216</v>
      </c>
      <c r="E49" s="316">
        <f t="shared" si="21"/>
        <v>1.3452028521970512</v>
      </c>
      <c r="F49" s="317">
        <v>206</v>
      </c>
      <c r="G49" s="318">
        <f>H49/I49</f>
        <v>2.5402777547329475E-2</v>
      </c>
      <c r="H49" s="321">
        <v>153.1</v>
      </c>
      <c r="I49" s="320">
        <f>F49*120/$B$3-H49</f>
        <v>6026.9</v>
      </c>
      <c r="J49" s="441">
        <f t="shared" si="23"/>
        <v>80.164959683397527</v>
      </c>
      <c r="K49" s="320">
        <f t="shared" si="24"/>
        <v>127.01703625122586</v>
      </c>
      <c r="L49" s="343">
        <f t="shared" si="36"/>
        <v>8.726417475728157</v>
      </c>
      <c r="M49" s="320">
        <f t="shared" si="25"/>
        <v>136.95380530132437</v>
      </c>
      <c r="N49" s="320">
        <f t="shared" si="26"/>
        <v>137.23153846136736</v>
      </c>
      <c r="O49" s="322">
        <f t="shared" ref="O49:P56" si="42">$B$16*L49/1000</f>
        <v>0.40270665746322271</v>
      </c>
      <c r="P49" s="321">
        <f t="shared" si="42"/>
        <v>6.3201433249287984</v>
      </c>
      <c r="Q49" s="323">
        <f t="shared" si="28"/>
        <v>6.3329601530095889</v>
      </c>
      <c r="R49" s="322">
        <f t="shared" si="29"/>
        <v>10.967719777076294</v>
      </c>
      <c r="S49" s="321">
        <f t="shared" si="30"/>
        <v>172.12916562003633</v>
      </c>
      <c r="T49" s="323">
        <f t="shared" si="37"/>
        <v>172.47823205888437</v>
      </c>
      <c r="U49" s="324">
        <f t="shared" si="38"/>
        <v>200.19998964561137</v>
      </c>
      <c r="V49" s="321">
        <f t="shared" si="31"/>
        <v>-171.7264589625731</v>
      </c>
      <c r="W49" s="321">
        <f t="shared" si="32"/>
        <v>217.48785274761644</v>
      </c>
      <c r="X49" s="325">
        <f t="shared" si="33"/>
        <v>277.11178755259255</v>
      </c>
      <c r="Y49" s="325">
        <f t="shared" si="34"/>
        <v>479.97169541732308</v>
      </c>
      <c r="Z49" s="442">
        <f t="shared" si="41"/>
        <v>80.267927796075995</v>
      </c>
      <c r="AD49" s="295"/>
      <c r="AE49" s="295"/>
    </row>
    <row r="50" spans="4:31">
      <c r="E50" s="303">
        <f t="shared" si="21"/>
        <v>1.2794862981807043</v>
      </c>
      <c r="F50" s="304">
        <f>F49*1.05</f>
        <v>216.3</v>
      </c>
      <c r="G50" s="305">
        <f t="shared" si="22"/>
        <v>2.4163891475559904E-2</v>
      </c>
      <c r="H50" s="308">
        <f>H49</f>
        <v>153.1</v>
      </c>
      <c r="I50" s="307">
        <f t="shared" si="35"/>
        <v>6335.9</v>
      </c>
      <c r="J50" s="308">
        <f t="shared" si="23"/>
        <v>76.352271988870498</v>
      </c>
      <c r="K50" s="307">
        <f t="shared" si="24"/>
        <v>115.07607288617811</v>
      </c>
      <c r="L50" s="331">
        <f t="shared" si="36"/>
        <v>8.3108737864077682</v>
      </c>
      <c r="M50" s="307">
        <f t="shared" si="25"/>
        <v>130.27460805419148</v>
      </c>
      <c r="N50" s="307">
        <f t="shared" si="26"/>
        <v>130.53943514036979</v>
      </c>
      <c r="O50" s="309">
        <f t="shared" si="42"/>
        <v>0.38353014996497398</v>
      </c>
      <c r="P50" s="308">
        <f t="shared" si="42"/>
        <v>6.0119117733886851</v>
      </c>
      <c r="Q50" s="310">
        <f t="shared" si="28"/>
        <v>6.0241330120558958</v>
      </c>
      <c r="R50" s="309">
        <f t="shared" si="29"/>
        <v>10.967719777076294</v>
      </c>
      <c r="S50" s="308">
        <f t="shared" si="30"/>
        <v>171.9212000961453</v>
      </c>
      <c r="T50" s="310">
        <f t="shared" si="37"/>
        <v>172.27068792922171</v>
      </c>
      <c r="U50" s="311">
        <f t="shared" si="38"/>
        <v>200.19998964561137</v>
      </c>
      <c r="V50" s="308">
        <f t="shared" si="31"/>
        <v>-171.53766994618033</v>
      </c>
      <c r="W50" s="308">
        <f t="shared" si="32"/>
        <v>217.17962119607634</v>
      </c>
      <c r="X50" s="312">
        <f t="shared" si="33"/>
        <v>276.75288629648634</v>
      </c>
      <c r="Y50" s="312">
        <f t="shared" si="34"/>
        <v>479.35006020684682</v>
      </c>
      <c r="Z50" s="440">
        <f t="shared" si="41"/>
        <v>77.082083546126057</v>
      </c>
      <c r="AD50" s="295"/>
      <c r="AE50" s="295"/>
    </row>
    <row r="51" spans="4:31">
      <c r="E51" s="303">
        <f t="shared" si="21"/>
        <v>1.2170570581801354</v>
      </c>
      <c r="F51" s="304">
        <f t="shared" ref="F51:F56" si="43">F50*1.05</f>
        <v>227.11500000000001</v>
      </c>
      <c r="G51" s="305">
        <f t="shared" si="22"/>
        <v>2.2986779974025387E-2</v>
      </c>
      <c r="H51" s="308">
        <f t="shared" ref="H51:H56" si="44">H50</f>
        <v>153.1</v>
      </c>
      <c r="I51" s="307">
        <f t="shared" si="35"/>
        <v>6660.35</v>
      </c>
      <c r="J51" s="308">
        <f t="shared" si="23"/>
        <v>72.720487750235719</v>
      </c>
      <c r="K51" s="307">
        <f t="shared" si="24"/>
        <v>104.26321520193657</v>
      </c>
      <c r="L51" s="331">
        <f t="shared" si="36"/>
        <v>7.915117891816922</v>
      </c>
      <c r="M51" s="307">
        <f t="shared" si="25"/>
        <v>123.92845558725168</v>
      </c>
      <c r="N51" s="307">
        <f t="shared" si="26"/>
        <v>124.18096148557866</v>
      </c>
      <c r="O51" s="309">
        <f t="shared" si="42"/>
        <v>0.36526680949045143</v>
      </c>
      <c r="P51" s="308">
        <f t="shared" si="42"/>
        <v>5.7190495702197888</v>
      </c>
      <c r="Q51" s="310">
        <f t="shared" si="28"/>
        <v>5.7307022107893975</v>
      </c>
      <c r="R51" s="309">
        <f t="shared" si="29"/>
        <v>10.967719777076296</v>
      </c>
      <c r="S51" s="308">
        <f t="shared" si="30"/>
        <v>171.72360435617128</v>
      </c>
      <c r="T51" s="310">
        <f t="shared" si="37"/>
        <v>172.07349351420547</v>
      </c>
      <c r="U51" s="311">
        <f t="shared" si="38"/>
        <v>200.19998964561137</v>
      </c>
      <c r="V51" s="308">
        <f t="shared" si="31"/>
        <v>-171.35833754668081</v>
      </c>
      <c r="W51" s="308">
        <f t="shared" si="32"/>
        <v>216.88675899290746</v>
      </c>
      <c r="X51" s="312">
        <f t="shared" si="33"/>
        <v>276.41191376858148</v>
      </c>
      <c r="Y51" s="312">
        <f t="shared" si="34"/>
        <v>478.75947846453039</v>
      </c>
      <c r="Z51" s="440">
        <f t="shared" si="41"/>
        <v>74.026218992758118</v>
      </c>
      <c r="AD51" s="295"/>
      <c r="AE51" s="295"/>
    </row>
    <row r="52" spans="4:31">
      <c r="E52" s="303">
        <f t="shared" si="21"/>
        <v>1.1577433948904723</v>
      </c>
      <c r="F52" s="304">
        <f t="shared" si="43"/>
        <v>238.47075000000001</v>
      </c>
      <c r="G52" s="305">
        <f t="shared" si="22"/>
        <v>2.1868234247211744E-2</v>
      </c>
      <c r="H52" s="308">
        <f t="shared" si="44"/>
        <v>153.1</v>
      </c>
      <c r="I52" s="307">
        <f t="shared" si="35"/>
        <v>7001.0225</v>
      </c>
      <c r="J52" s="308">
        <f t="shared" si="23"/>
        <v>69.261084037520334</v>
      </c>
      <c r="K52" s="307">
        <f t="shared" si="24"/>
        <v>94.471148079937137</v>
      </c>
      <c r="L52" s="331">
        <f t="shared" si="36"/>
        <v>7.5382075160161159</v>
      </c>
      <c r="M52" s="307">
        <f t="shared" si="25"/>
        <v>117.89804834515979</v>
      </c>
      <c r="N52" s="307">
        <f t="shared" si="26"/>
        <v>118.13879285041031</v>
      </c>
      <c r="O52" s="309">
        <f t="shared" si="42"/>
        <v>0.34787315189566798</v>
      </c>
      <c r="P52" s="308">
        <f t="shared" si="42"/>
        <v>5.4407583756534654</v>
      </c>
      <c r="Q52" s="310">
        <f t="shared" si="28"/>
        <v>5.4518682515311347</v>
      </c>
      <c r="R52" s="309">
        <f t="shared" si="29"/>
        <v>10.967719777076292</v>
      </c>
      <c r="S52" s="308">
        <f t="shared" si="30"/>
        <v>171.53583975587938</v>
      </c>
      <c r="T52" s="310">
        <f t="shared" si="37"/>
        <v>171.886111125545</v>
      </c>
      <c r="U52" s="311">
        <f t="shared" si="38"/>
        <v>200.19998964561134</v>
      </c>
      <c r="V52" s="308">
        <f t="shared" si="31"/>
        <v>-171.18796660398371</v>
      </c>
      <c r="W52" s="308">
        <f t="shared" si="32"/>
        <v>216.60846779834111</v>
      </c>
      <c r="X52" s="312">
        <f t="shared" si="33"/>
        <v>276.08793568707711</v>
      </c>
      <c r="Y52" s="312">
        <f t="shared" si="34"/>
        <v>478.19833196682612</v>
      </c>
      <c r="Z52" s="440">
        <f t="shared" si="41"/>
        <v>71.094726235057024</v>
      </c>
      <c r="AD52" s="295"/>
      <c r="AE52" s="295"/>
    </row>
    <row r="53" spans="4:31">
      <c r="E53" s="303">
        <f t="shared" si="21"/>
        <v>1.1013832338801242</v>
      </c>
      <c r="F53" s="304">
        <f t="shared" si="43"/>
        <v>250.39428750000002</v>
      </c>
      <c r="G53" s="305">
        <f t="shared" si="22"/>
        <v>2.0805224353547893E-2</v>
      </c>
      <c r="H53" s="308">
        <f t="shared" si="44"/>
        <v>153.1</v>
      </c>
      <c r="I53" s="307">
        <f t="shared" si="35"/>
        <v>7358.7286249999997</v>
      </c>
      <c r="J53" s="308">
        <f t="shared" si="23"/>
        <v>65.965930841337595</v>
      </c>
      <c r="K53" s="307">
        <f t="shared" si="24"/>
        <v>85.602862973278818</v>
      </c>
      <c r="L53" s="331">
        <f t="shared" si="36"/>
        <v>7.1792452533486815</v>
      </c>
      <c r="M53" s="307">
        <f t="shared" si="25"/>
        <v>112.16705102650144</v>
      </c>
      <c r="N53" s="307">
        <f t="shared" si="26"/>
        <v>112.39656978035188</v>
      </c>
      <c r="O53" s="309">
        <f t="shared" si="42"/>
        <v>0.33130776371015996</v>
      </c>
      <c r="P53" s="308">
        <f t="shared" si="42"/>
        <v>5.1762843483052574</v>
      </c>
      <c r="Q53" s="310">
        <f t="shared" si="28"/>
        <v>5.1868761782796229</v>
      </c>
      <c r="R53" s="309">
        <f t="shared" si="29"/>
        <v>10.967719777076294</v>
      </c>
      <c r="S53" s="308">
        <f t="shared" si="30"/>
        <v>171.35739767433969</v>
      </c>
      <c r="T53" s="310">
        <f t="shared" si="37"/>
        <v>171.70803305270923</v>
      </c>
      <c r="U53" s="311">
        <f t="shared" si="38"/>
        <v>200.19998964561137</v>
      </c>
      <c r="V53" s="308">
        <f t="shared" si="31"/>
        <v>-171.02608991062954</v>
      </c>
      <c r="W53" s="308">
        <f t="shared" si="32"/>
        <v>216.34399377099291</v>
      </c>
      <c r="X53" s="312">
        <f t="shared" si="33"/>
        <v>275.78007011185957</v>
      </c>
      <c r="Y53" s="312">
        <f t="shared" si="34"/>
        <v>477.66509314864794</v>
      </c>
      <c r="Z53" s="440">
        <f t="shared" si="41"/>
        <v>68.282265505639458</v>
      </c>
      <c r="AD53" s="295"/>
      <c r="AE53" s="295"/>
    </row>
    <row r="54" spans="4:31">
      <c r="E54" s="303">
        <f t="shared" si="21"/>
        <v>1.6176593631083311</v>
      </c>
      <c r="F54" s="304">
        <f t="shared" si="43"/>
        <v>262.91400187500005</v>
      </c>
      <c r="G54" s="305">
        <f t="shared" si="22"/>
        <v>4.2011144531136212E-2</v>
      </c>
      <c r="H54" s="308">
        <v>318</v>
      </c>
      <c r="I54" s="307">
        <f t="shared" si="35"/>
        <v>7569.4200562500018</v>
      </c>
      <c r="J54" s="308">
        <f t="shared" si="23"/>
        <v>130.31763034777882</v>
      </c>
      <c r="K54" s="307">
        <f t="shared" si="24"/>
        <v>164.40383718495832</v>
      </c>
      <c r="L54" s="331">
        <f t="shared" si="36"/>
        <v>6.8373764317606485</v>
      </c>
      <c r="M54" s="307">
        <f t="shared" si="25"/>
        <v>226.4943704633545</v>
      </c>
      <c r="N54" s="307">
        <f t="shared" si="26"/>
        <v>226.59754978388639</v>
      </c>
      <c r="O54" s="309">
        <f t="shared" si="42"/>
        <v>0.31553120353348568</v>
      </c>
      <c r="P54" s="308">
        <f t="shared" si="42"/>
        <v>10.452260749297176</v>
      </c>
      <c r="Q54" s="310">
        <f t="shared" si="28"/>
        <v>10.457022267916507</v>
      </c>
      <c r="R54" s="309">
        <f t="shared" si="29"/>
        <v>10.967719777076294</v>
      </c>
      <c r="S54" s="308">
        <f t="shared" si="30"/>
        <v>363.31578509971064</v>
      </c>
      <c r="T54" s="310">
        <f t="shared" si="37"/>
        <v>363.48129330094503</v>
      </c>
      <c r="U54" s="311">
        <f t="shared" si="38"/>
        <v>200.19998964561134</v>
      </c>
      <c r="V54" s="308">
        <f t="shared" si="31"/>
        <v>-363.00025389617713</v>
      </c>
      <c r="W54" s="308">
        <f t="shared" si="32"/>
        <v>221.61997017198482</v>
      </c>
      <c r="X54" s="312">
        <f t="shared" si="33"/>
        <v>425.30529682537519</v>
      </c>
      <c r="Y54" s="312">
        <f t="shared" si="34"/>
        <v>736.65038282971216</v>
      </c>
      <c r="Z54" s="440">
        <f t="shared" si="41"/>
        <v>66.738657823219313</v>
      </c>
      <c r="AD54" s="295"/>
      <c r="AE54" s="295"/>
    </row>
    <row r="55" spans="4:31">
      <c r="E55" s="303">
        <f t="shared" si="21"/>
        <v>1.537454761565066</v>
      </c>
      <c r="F55" s="304">
        <f t="shared" si="43"/>
        <v>276.05970196875006</v>
      </c>
      <c r="G55" s="305">
        <f t="shared" si="22"/>
        <v>3.9930731185887615E-2</v>
      </c>
      <c r="H55" s="308">
        <f t="shared" si="44"/>
        <v>318</v>
      </c>
      <c r="I55" s="307">
        <f t="shared" si="35"/>
        <v>7963.7910590625015</v>
      </c>
      <c r="J55" s="308">
        <f t="shared" si="23"/>
        <v>124.13322405714356</v>
      </c>
      <c r="K55" s="307">
        <f t="shared" si="24"/>
        <v>148.84681979303892</v>
      </c>
      <c r="L55" s="331">
        <f t="shared" si="36"/>
        <v>6.5117870778672842</v>
      </c>
      <c r="M55" s="307">
        <f t="shared" si="25"/>
        <v>215.278253497381</v>
      </c>
      <c r="N55" s="307">
        <f t="shared" si="26"/>
        <v>215.37671601134167</v>
      </c>
      <c r="O55" s="309">
        <f t="shared" si="42"/>
        <v>0.30050590812712918</v>
      </c>
      <c r="P55" s="308">
        <f t="shared" si="42"/>
        <v>9.9346594557942165</v>
      </c>
      <c r="Q55" s="310">
        <f t="shared" si="28"/>
        <v>9.9392033032542777</v>
      </c>
      <c r="R55" s="309">
        <f t="shared" si="29"/>
        <v>10.967719777076296</v>
      </c>
      <c r="S55" s="308">
        <f t="shared" si="30"/>
        <v>362.59041185219036</v>
      </c>
      <c r="T55" s="310">
        <f t="shared" si="37"/>
        <v>362.75625100644305</v>
      </c>
      <c r="U55" s="311">
        <f t="shared" si="38"/>
        <v>200.19998964561137</v>
      </c>
      <c r="V55" s="308">
        <f t="shared" si="31"/>
        <v>-362.28990594406321</v>
      </c>
      <c r="W55" s="308">
        <f t="shared" si="32"/>
        <v>221.10236887848188</v>
      </c>
      <c r="X55" s="312">
        <f t="shared" si="33"/>
        <v>424.42930326808778</v>
      </c>
      <c r="Y55" s="312">
        <f t="shared" si="34"/>
        <v>735.13311748138733</v>
      </c>
      <c r="Z55" s="440">
        <f t="shared" si="41"/>
        <v>64.048814452630751</v>
      </c>
      <c r="AD55" s="295"/>
      <c r="AE55" s="295"/>
    </row>
    <row r="56" spans="4:31">
      <c r="E56" s="303">
        <f t="shared" si="21"/>
        <v>1.4613758416794094</v>
      </c>
      <c r="F56" s="304">
        <f t="shared" si="43"/>
        <v>289.86268706718755</v>
      </c>
      <c r="G56" s="305">
        <f t="shared" si="22"/>
        <v>3.7957093771892832E-2</v>
      </c>
      <c r="H56" s="308">
        <f t="shared" si="44"/>
        <v>318</v>
      </c>
      <c r="I56" s="307">
        <f t="shared" si="35"/>
        <v>8377.880612015626</v>
      </c>
      <c r="J56" s="308">
        <f t="shared" si="23"/>
        <v>118.24032055164173</v>
      </c>
      <c r="K56" s="307">
        <f t="shared" si="24"/>
        <v>134.77297440768712</v>
      </c>
      <c r="L56" s="331">
        <f t="shared" si="36"/>
        <v>6.2017019789212231</v>
      </c>
      <c r="M56" s="307">
        <f t="shared" si="25"/>
        <v>204.63779681393197</v>
      </c>
      <c r="N56" s="307">
        <f t="shared" si="26"/>
        <v>204.73174886249436</v>
      </c>
      <c r="O56" s="309">
        <f t="shared" si="42"/>
        <v>0.28619610297821829</v>
      </c>
      <c r="P56" s="308">
        <f t="shared" si="42"/>
        <v>9.4436237293013807</v>
      </c>
      <c r="Q56" s="310">
        <f t="shared" si="28"/>
        <v>9.4479594278332932</v>
      </c>
      <c r="R56" s="309">
        <f t="shared" si="29"/>
        <v>10.967719777076294</v>
      </c>
      <c r="S56" s="308">
        <f t="shared" si="30"/>
        <v>361.90226793901724</v>
      </c>
      <c r="T56" s="310">
        <f t="shared" si="37"/>
        <v>362.0684222857783</v>
      </c>
      <c r="U56" s="311">
        <f t="shared" si="38"/>
        <v>200.19998964561137</v>
      </c>
      <c r="V56" s="308">
        <f t="shared" si="31"/>
        <v>-361.616071836039</v>
      </c>
      <c r="W56" s="308">
        <f t="shared" si="32"/>
        <v>220.61133315198904</v>
      </c>
      <c r="X56" s="312">
        <f t="shared" si="33"/>
        <v>423.59832828426647</v>
      </c>
      <c r="Y56" s="312">
        <f t="shared" si="34"/>
        <v>733.69382658959012</v>
      </c>
      <c r="Z56" s="440">
        <f t="shared" si="41"/>
        <v>61.472305885115581</v>
      </c>
      <c r="AD56" s="295"/>
      <c r="AE56" s="295"/>
    </row>
    <row r="57" spans="4:31">
      <c r="E57" s="303"/>
      <c r="F57" s="304"/>
      <c r="G57" s="305"/>
      <c r="H57" s="308"/>
      <c r="I57" s="307"/>
      <c r="J57" s="308"/>
      <c r="K57" s="307"/>
      <c r="L57" s="307"/>
      <c r="M57" s="307"/>
      <c r="N57" s="307"/>
      <c r="O57" s="309"/>
      <c r="P57" s="308"/>
      <c r="Q57" s="310"/>
      <c r="R57" s="309"/>
      <c r="S57" s="308"/>
      <c r="T57" s="310"/>
      <c r="U57" s="311"/>
      <c r="V57" s="308"/>
      <c r="W57" s="308"/>
      <c r="X57" s="312"/>
      <c r="Y57" s="312"/>
      <c r="AD57" s="295"/>
      <c r="AE57" s="295"/>
    </row>
    <row r="58" spans="4:31" ht="15.75" thickBot="1">
      <c r="E58" s="290" t="s">
        <v>217</v>
      </c>
      <c r="P58" s="291">
        <f>P63/O63</f>
        <v>4.2031088384124837</v>
      </c>
      <c r="S58" s="291">
        <f>S63/R63</f>
        <v>4.2031088384124837</v>
      </c>
      <c r="AD58" s="295"/>
      <c r="AE58" s="295"/>
    </row>
    <row r="59" spans="4:31">
      <c r="E59" s="298" t="s">
        <v>187</v>
      </c>
      <c r="F59" s="291" t="s">
        <v>188</v>
      </c>
      <c r="G59" s="291" t="s">
        <v>189</v>
      </c>
      <c r="H59" s="291" t="s">
        <v>158</v>
      </c>
      <c r="I59" s="291" t="s">
        <v>82</v>
      </c>
      <c r="J59" s="291" t="s">
        <v>190</v>
      </c>
      <c r="K59" s="291" t="s">
        <v>191</v>
      </c>
      <c r="L59" s="291" t="s">
        <v>192</v>
      </c>
      <c r="M59" s="291" t="s">
        <v>193</v>
      </c>
      <c r="N59" s="291" t="s">
        <v>194</v>
      </c>
      <c r="O59" s="299" t="s">
        <v>195</v>
      </c>
      <c r="P59" s="300" t="s">
        <v>196</v>
      </c>
      <c r="Q59" s="301" t="s">
        <v>197</v>
      </c>
      <c r="R59" s="299" t="s">
        <v>198</v>
      </c>
      <c r="S59" s="300" t="s">
        <v>199</v>
      </c>
      <c r="T59" s="301" t="s">
        <v>200</v>
      </c>
      <c r="U59" s="302" t="s">
        <v>160</v>
      </c>
      <c r="V59" s="291" t="s">
        <v>201</v>
      </c>
      <c r="W59" s="291" t="s">
        <v>202</v>
      </c>
      <c r="X59" s="291" t="s">
        <v>203</v>
      </c>
      <c r="Y59" s="291" t="s">
        <v>204</v>
      </c>
    </row>
    <row r="60" spans="4:31">
      <c r="E60" s="303">
        <f>X60/F60</f>
        <v>1.0250879281953313</v>
      </c>
      <c r="F60" s="312">
        <f>F$71-$H$71/120*$B$3+H60/120*$B$3</f>
        <v>200.8966667</v>
      </c>
      <c r="G60" s="305">
        <f>H60/I60</f>
        <v>1.6592277953840283E-10</v>
      </c>
      <c r="H60" s="344">
        <v>9.9999999999999995E-7</v>
      </c>
      <c r="I60" s="307">
        <f t="shared" ref="I60:I69" si="45">I61</f>
        <v>6026.9</v>
      </c>
      <c r="J60" s="308">
        <f>3*(1-G60)/G60*$B$17/1000*M60^2/1000</f>
        <v>5.1096980809703082E-7</v>
      </c>
      <c r="K60" s="307">
        <f>J60/I60*1000*30/PI()</f>
        <v>8.0960398277084042E-7</v>
      </c>
      <c r="L60" s="345">
        <f t="shared" ref="L60:L69" si="46">L61</f>
        <v>8.726417475728157</v>
      </c>
      <c r="M60" s="307">
        <f>U60/$B$17*1000*G60</f>
        <v>8.7237743517203842E-7</v>
      </c>
      <c r="N60" s="307">
        <f>(L60^2+M60^2)^0.5</f>
        <v>8.7264174757282014</v>
      </c>
      <c r="O60" s="309">
        <f>$B$16*L60/1000</f>
        <v>0.40270665746322271</v>
      </c>
      <c r="P60" s="291">
        <f>$B$16*M60/1000</f>
        <v>4.0258468259353626E-8</v>
      </c>
      <c r="Q60" s="310">
        <f>N60*$B$16/1000</f>
        <v>0.40270665746322476</v>
      </c>
      <c r="R60" s="309">
        <f>2*PI()*F60*$B$19*L60/1000</f>
        <v>10.696011381137351</v>
      </c>
      <c r="S60" s="308">
        <f>2*PI()*F60*$B$19*M60/1000</f>
        <v>1.0692771691476901E-6</v>
      </c>
      <c r="T60" s="310">
        <f>2*PI()*F60*$B$19*N60/1000</f>
        <v>10.696011381137406</v>
      </c>
      <c r="U60" s="311">
        <f>$B$21*2*PI()*F60*L60/1000</f>
        <v>195.24034268532932</v>
      </c>
      <c r="V60" s="308">
        <f>O60-S60</f>
        <v>0.40270558818605356</v>
      </c>
      <c r="W60" s="308">
        <f>P60+R60+U60</f>
        <v>205.93635410672513</v>
      </c>
      <c r="X60" s="312">
        <f>(W60^2+V60^2)^0.5</f>
        <v>205.93674784885101</v>
      </c>
      <c r="Y60" s="312">
        <f>X60*3^0.5</f>
        <v>356.69291041971064</v>
      </c>
    </row>
    <row r="61" spans="4:31">
      <c r="E61" s="303">
        <f t="shared" ref="E61:E75" si="47">X61/F61</f>
        <v>1.030411277834981</v>
      </c>
      <c r="F61" s="312">
        <f>F$71-$H$71/120*$B$3+H61/120*$B$3</f>
        <v>201.3606060909091</v>
      </c>
      <c r="G61" s="305">
        <f t="shared" ref="G61:G75" si="48">H61/I61</f>
        <v>2.3093435642324786E-3</v>
      </c>
      <c r="H61" s="344">
        <f>H60+($H$71-$H$60)/11</f>
        <v>13.918182727272725</v>
      </c>
      <c r="I61" s="307">
        <f t="shared" si="45"/>
        <v>6026.9</v>
      </c>
      <c r="J61" s="308">
        <f t="shared" ref="J61:J75" si="49">3*(1-G61)/G61*$B$17/1000*M61^2/1000</f>
        <v>7.1281566638386433</v>
      </c>
      <c r="K61" s="307">
        <f t="shared" ref="K61:K75" si="50">J61/I61*1000*30/PI()</f>
        <v>11.294178116610734</v>
      </c>
      <c r="L61" s="345">
        <f t="shared" si="46"/>
        <v>8.726417475728157</v>
      </c>
      <c r="M61" s="307">
        <f t="shared" ref="M61:M75" si="51">U61/$B$17*1000*G61</f>
        <v>12.169948386221826</v>
      </c>
      <c r="N61" s="307">
        <f t="shared" ref="N61:N75" si="52">(L61^2+M61^2)^0.5</f>
        <v>14.975246431494774</v>
      </c>
      <c r="O61" s="309">
        <f t="shared" ref="O61:P75" si="53">$B$16*L61/1000</f>
        <v>0.40270665746322271</v>
      </c>
      <c r="P61" s="308">
        <f t="shared" si="53"/>
        <v>0.56161869974097089</v>
      </c>
      <c r="Q61" s="310">
        <f t="shared" ref="Q61:Q75" si="54">N61*$B$16/1000</f>
        <v>0.69107757586535834</v>
      </c>
      <c r="R61" s="309">
        <f t="shared" ref="R61:R75" si="55">2*PI()*F61*$B$19*L61/1000</f>
        <v>10.72071214440453</v>
      </c>
      <c r="S61" s="308">
        <f t="shared" ref="S61:S75" si="56">2*PI()*F61*$B$19*M61/1000</f>
        <v>14.95121151650584</v>
      </c>
      <c r="T61" s="310">
        <f t="shared" ref="T61:T75" si="57">2*PI()*F61*$B$19*N61/1000</f>
        <v>18.397619267026904</v>
      </c>
      <c r="U61" s="311">
        <f t="shared" ref="U61:U75" si="58">$B$21*2*PI()*F61*L61/1000</f>
        <v>195.69121968171859</v>
      </c>
      <c r="V61" s="308">
        <f t="shared" ref="V61:V75" si="59">O61-S61</f>
        <v>-14.548504859042618</v>
      </c>
      <c r="W61" s="308">
        <f t="shared" ref="W61:W75" si="60">P61+R61+U61</f>
        <v>206.97355052586408</v>
      </c>
      <c r="X61" s="312">
        <f t="shared" ref="X61:X75" si="61">(W61^2+V61^2)^0.5</f>
        <v>207.48423942775992</v>
      </c>
      <c r="Y61" s="312">
        <f t="shared" ref="Y61:Y75" si="62">X61*3^0.5</f>
        <v>359.37324445866585</v>
      </c>
    </row>
    <row r="62" spans="4:31">
      <c r="D62" s="315"/>
      <c r="E62" s="303">
        <f t="shared" si="47"/>
        <v>1.0410731179044006</v>
      </c>
      <c r="F62" s="312">
        <f t="shared" ref="F62:F70" si="63">F$71-$H$71/120*$B$3+H62/120*$B$3</f>
        <v>201.82454548181818</v>
      </c>
      <c r="G62" s="305">
        <f t="shared" si="48"/>
        <v>4.6186869625421782E-3</v>
      </c>
      <c r="H62" s="344">
        <f t="shared" ref="H62:H70" si="64">H61+($H$71-$H$60)/11</f>
        <v>27.836364454545453</v>
      </c>
      <c r="I62" s="307">
        <f t="shared" si="45"/>
        <v>6026.9</v>
      </c>
      <c r="J62" s="308">
        <f t="shared" si="49"/>
        <v>14.288931066348539</v>
      </c>
      <c r="K62" s="307">
        <f t="shared" si="50"/>
        <v>22.640037273311826</v>
      </c>
      <c r="L62" s="345">
        <f t="shared" si="46"/>
        <v>8.726417475728157</v>
      </c>
      <c r="M62" s="307">
        <f t="shared" si="51"/>
        <v>24.395975568732741</v>
      </c>
      <c r="N62" s="307">
        <f t="shared" si="52"/>
        <v>25.909727630967073</v>
      </c>
      <c r="O62" s="309">
        <f t="shared" si="53"/>
        <v>0.40270665746322271</v>
      </c>
      <c r="P62" s="308">
        <f t="shared" si="53"/>
        <v>1.125825323411888</v>
      </c>
      <c r="Q62" s="310">
        <f t="shared" si="54"/>
        <v>1.1956819438298314</v>
      </c>
      <c r="R62" s="309">
        <f t="shared" si="55"/>
        <v>10.745412907671705</v>
      </c>
      <c r="S62" s="308">
        <f t="shared" si="56"/>
        <v>30.040372409484142</v>
      </c>
      <c r="T62" s="310">
        <f t="shared" si="57"/>
        <v>31.904355079782661</v>
      </c>
      <c r="U62" s="311">
        <f t="shared" si="58"/>
        <v>196.14209667810786</v>
      </c>
      <c r="V62" s="308">
        <f t="shared" si="59"/>
        <v>-29.637665752020919</v>
      </c>
      <c r="W62" s="308">
        <f t="shared" si="60"/>
        <v>208.01333490919146</v>
      </c>
      <c r="X62" s="312">
        <f t="shared" si="61"/>
        <v>210.11410883439495</v>
      </c>
      <c r="Y62" s="312">
        <f t="shared" si="62"/>
        <v>363.92831188822873</v>
      </c>
    </row>
    <row r="63" spans="4:31">
      <c r="D63" s="327"/>
      <c r="E63" s="303">
        <f t="shared" si="47"/>
        <v>1.0569843420635516</v>
      </c>
      <c r="F63" s="312">
        <f t="shared" si="63"/>
        <v>202.28848487272728</v>
      </c>
      <c r="G63" s="305">
        <f t="shared" si="48"/>
        <v>6.9280303608518778E-3</v>
      </c>
      <c r="H63" s="344">
        <f t="shared" si="64"/>
        <v>41.754546181818178</v>
      </c>
      <c r="I63" s="307">
        <f t="shared" si="45"/>
        <v>6026.9</v>
      </c>
      <c r="J63" s="308">
        <f t="shared" si="49"/>
        <v>21.482093000047794</v>
      </c>
      <c r="K63" s="307">
        <f t="shared" si="50"/>
        <v>34.037212718818068</v>
      </c>
      <c r="L63" s="345">
        <f t="shared" si="46"/>
        <v>8.726417475728157</v>
      </c>
      <c r="M63" s="307">
        <f t="shared" si="51"/>
        <v>36.678082419910176</v>
      </c>
      <c r="N63" s="307">
        <f t="shared" si="52"/>
        <v>37.701884461687293</v>
      </c>
      <c r="O63" s="309">
        <f t="shared" si="53"/>
        <v>0.40270665746322271</v>
      </c>
      <c r="P63" s="308">
        <f t="shared" si="53"/>
        <v>1.6926199112712199</v>
      </c>
      <c r="Q63" s="310">
        <f t="shared" si="54"/>
        <v>1.7398663213008621</v>
      </c>
      <c r="R63" s="309">
        <f t="shared" si="55"/>
        <v>10.770113670938883</v>
      </c>
      <c r="S63" s="308">
        <f t="shared" si="56"/>
        <v>45.267959961030343</v>
      </c>
      <c r="T63" s="310">
        <f t="shared" si="57"/>
        <v>46.531532830096957</v>
      </c>
      <c r="U63" s="311">
        <f t="shared" si="58"/>
        <v>196.59297367449716</v>
      </c>
      <c r="V63" s="308">
        <f t="shared" si="59"/>
        <v>-44.865253303567123</v>
      </c>
      <c r="W63" s="308">
        <f t="shared" si="60"/>
        <v>209.05570725670725</v>
      </c>
      <c r="X63" s="312">
        <f t="shared" si="61"/>
        <v>213.81576109023237</v>
      </c>
      <c r="Y63" s="312">
        <f t="shared" si="62"/>
        <v>370.3397616672911</v>
      </c>
    </row>
    <row r="64" spans="4:31">
      <c r="D64" s="327"/>
      <c r="E64" s="303">
        <f t="shared" si="47"/>
        <v>1.0779838701778166</v>
      </c>
      <c r="F64" s="312">
        <f t="shared" si="63"/>
        <v>202.75242426363639</v>
      </c>
      <c r="G64" s="305">
        <f t="shared" si="48"/>
        <v>9.2373737591615757E-3</v>
      </c>
      <c r="H64" s="344">
        <f t="shared" si="64"/>
        <v>55.672727909090902</v>
      </c>
      <c r="I64" s="307">
        <f t="shared" si="45"/>
        <v>6026.9</v>
      </c>
      <c r="J64" s="308">
        <f t="shared" si="49"/>
        <v>28.707409644379084</v>
      </c>
      <c r="K64" s="307">
        <f t="shared" si="50"/>
        <v>45.485335561567787</v>
      </c>
      <c r="L64" s="345">
        <f t="shared" si="46"/>
        <v>8.726417475728157</v>
      </c>
      <c r="M64" s="307">
        <f t="shared" si="51"/>
        <v>49.016268939754127</v>
      </c>
      <c r="N64" s="307">
        <f t="shared" si="52"/>
        <v>49.786996120824547</v>
      </c>
      <c r="O64" s="309">
        <f t="shared" si="53"/>
        <v>0.40270665746322271</v>
      </c>
      <c r="P64" s="308">
        <f t="shared" si="53"/>
        <v>2.2620024633189666</v>
      </c>
      <c r="Q64" s="310">
        <f t="shared" si="54"/>
        <v>2.2975699763067654</v>
      </c>
      <c r="R64" s="309">
        <f t="shared" si="55"/>
        <v>10.79481443420606</v>
      </c>
      <c r="S64" s="308">
        <f t="shared" si="56"/>
        <v>60.634450383962708</v>
      </c>
      <c r="T64" s="310">
        <f t="shared" si="57"/>
        <v>61.587860752214617</v>
      </c>
      <c r="U64" s="311">
        <f t="shared" si="58"/>
        <v>197.04385067088646</v>
      </c>
      <c r="V64" s="308">
        <f t="shared" si="59"/>
        <v>-60.231743726499488</v>
      </c>
      <c r="W64" s="308">
        <f t="shared" si="60"/>
        <v>210.1006675684115</v>
      </c>
      <c r="X64" s="312">
        <f t="shared" si="61"/>
        <v>218.5638429956494</v>
      </c>
      <c r="Y64" s="312">
        <f t="shared" si="62"/>
        <v>378.56368076597181</v>
      </c>
    </row>
    <row r="65" spans="4:25">
      <c r="D65" s="327"/>
      <c r="E65" s="303">
        <f t="shared" si="47"/>
        <v>1.1038513257946589</v>
      </c>
      <c r="F65" s="312">
        <f t="shared" si="63"/>
        <v>203.21636365454546</v>
      </c>
      <c r="G65" s="305">
        <f t="shared" si="48"/>
        <v>1.1546717157471277E-2</v>
      </c>
      <c r="H65" s="344">
        <f t="shared" si="64"/>
        <v>69.590909636363634</v>
      </c>
      <c r="I65" s="307">
        <f t="shared" si="45"/>
        <v>6026.9</v>
      </c>
      <c r="J65" s="308">
        <f t="shared" si="49"/>
        <v>35.964646076679436</v>
      </c>
      <c r="K65" s="307">
        <f t="shared" si="50"/>
        <v>56.984033579326749</v>
      </c>
      <c r="L65" s="345">
        <f t="shared" si="46"/>
        <v>8.726417475728157</v>
      </c>
      <c r="M65" s="307">
        <f t="shared" si="51"/>
        <v>61.410535128264591</v>
      </c>
      <c r="N65" s="307">
        <f t="shared" si="52"/>
        <v>62.027447043228477</v>
      </c>
      <c r="O65" s="309">
        <f t="shared" si="53"/>
        <v>0.40270665746322271</v>
      </c>
      <c r="P65" s="308">
        <f t="shared" si="53"/>
        <v>2.8339729795551265</v>
      </c>
      <c r="Q65" s="310">
        <f t="shared" si="54"/>
        <v>2.8624422266333629</v>
      </c>
      <c r="R65" s="309">
        <f t="shared" si="55"/>
        <v>10.819515197473235</v>
      </c>
      <c r="S65" s="308">
        <f t="shared" si="56"/>
        <v>76.14031989109948</v>
      </c>
      <c r="T65" s="310">
        <f t="shared" si="57"/>
        <v>76.905202829375028</v>
      </c>
      <c r="U65" s="311">
        <f t="shared" si="58"/>
        <v>197.4947276672757</v>
      </c>
      <c r="V65" s="308">
        <f t="shared" si="59"/>
        <v>-75.737613233636253</v>
      </c>
      <c r="W65" s="308">
        <f t="shared" si="60"/>
        <v>211.14821584430405</v>
      </c>
      <c r="X65" s="312">
        <f t="shared" si="61"/>
        <v>224.32065244323957</v>
      </c>
      <c r="Y65" s="312">
        <f t="shared" si="62"/>
        <v>388.53476721869049</v>
      </c>
    </row>
    <row r="66" spans="4:25">
      <c r="D66" s="327"/>
      <c r="E66" s="303">
        <f t="shared" si="47"/>
        <v>1.1343221388593552</v>
      </c>
      <c r="F66" s="312">
        <f t="shared" si="63"/>
        <v>203.68030304545456</v>
      </c>
      <c r="G66" s="305">
        <f t="shared" si="48"/>
        <v>1.3856060555780975E-2</v>
      </c>
      <c r="H66" s="344">
        <f t="shared" si="64"/>
        <v>83.509091363636358</v>
      </c>
      <c r="I66" s="307">
        <f t="shared" si="45"/>
        <v>6026.9</v>
      </c>
      <c r="J66" s="308">
        <f t="shared" si="49"/>
        <v>43.253565272180317</v>
      </c>
      <c r="K66" s="307">
        <f t="shared" si="50"/>
        <v>68.53293121918837</v>
      </c>
      <c r="L66" s="345">
        <f t="shared" si="46"/>
        <v>8.726417475728157</v>
      </c>
      <c r="M66" s="307">
        <f t="shared" si="51"/>
        <v>73.860880985441597</v>
      </c>
      <c r="N66" s="307">
        <f t="shared" si="52"/>
        <v>74.37459312094596</v>
      </c>
      <c r="O66" s="309">
        <f t="shared" si="53"/>
        <v>0.40270665746322271</v>
      </c>
      <c r="P66" s="308">
        <f t="shared" si="53"/>
        <v>3.4085314599797027</v>
      </c>
      <c r="Q66" s="310">
        <f t="shared" si="54"/>
        <v>3.4322382443001485</v>
      </c>
      <c r="R66" s="309">
        <f t="shared" si="55"/>
        <v>10.844215960740414</v>
      </c>
      <c r="S66" s="308">
        <f t="shared" si="56"/>
        <v>91.786044695259008</v>
      </c>
      <c r="T66" s="310">
        <f t="shared" si="57"/>
        <v>92.424428700442945</v>
      </c>
      <c r="U66" s="311">
        <f t="shared" si="58"/>
        <v>197.94560466366499</v>
      </c>
      <c r="V66" s="308">
        <f t="shared" si="59"/>
        <v>-91.383338037795781</v>
      </c>
      <c r="W66" s="308">
        <f t="shared" si="60"/>
        <v>212.19835208438511</v>
      </c>
      <c r="X66" s="312">
        <f t="shared" si="61"/>
        <v>231.03907699404166</v>
      </c>
      <c r="Y66" s="312">
        <f t="shared" si="62"/>
        <v>400.17141988749785</v>
      </c>
    </row>
    <row r="67" spans="4:25">
      <c r="D67" s="327"/>
      <c r="E67" s="303">
        <f t="shared" si="47"/>
        <v>1.1691031017695019</v>
      </c>
      <c r="F67" s="312">
        <f t="shared" si="63"/>
        <v>204.14424243636364</v>
      </c>
      <c r="G67" s="305">
        <f t="shared" si="48"/>
        <v>1.6165403954090676E-2</v>
      </c>
      <c r="H67" s="344">
        <f t="shared" si="64"/>
        <v>97.427273090909082</v>
      </c>
      <c r="I67" s="307">
        <f t="shared" si="45"/>
        <v>6026.9</v>
      </c>
      <c r="J67" s="308">
        <f t="shared" si="49"/>
        <v>50.573928104007443</v>
      </c>
      <c r="K67" s="307">
        <f t="shared" si="50"/>
        <v>80.131649597573315</v>
      </c>
      <c r="L67" s="345">
        <f t="shared" si="46"/>
        <v>8.726417475728157</v>
      </c>
      <c r="M67" s="307">
        <f t="shared" si="51"/>
        <v>86.367306511285108</v>
      </c>
      <c r="N67" s="307">
        <f t="shared" si="52"/>
        <v>86.807038861920432</v>
      </c>
      <c r="O67" s="309">
        <f t="shared" si="53"/>
        <v>0.40270665746322271</v>
      </c>
      <c r="P67" s="308">
        <f t="shared" si="53"/>
        <v>3.9856779045926927</v>
      </c>
      <c r="Q67" s="310">
        <f t="shared" si="54"/>
        <v>4.0059706702775042</v>
      </c>
      <c r="R67" s="309">
        <f t="shared" si="55"/>
        <v>10.868916724007589</v>
      </c>
      <c r="S67" s="308">
        <f t="shared" si="56"/>
        <v>107.57210100925947</v>
      </c>
      <c r="T67" s="310">
        <f t="shared" si="57"/>
        <v>108.11979590389417</v>
      </c>
      <c r="U67" s="311">
        <f t="shared" si="58"/>
        <v>198.39648166005426</v>
      </c>
      <c r="V67" s="308">
        <f t="shared" si="59"/>
        <v>-107.16939435179624</v>
      </c>
      <c r="W67" s="308">
        <f t="shared" si="60"/>
        <v>213.25107628865453</v>
      </c>
      <c r="X67" s="312">
        <f t="shared" si="61"/>
        <v>238.6656670407379</v>
      </c>
      <c r="Y67" s="312">
        <f t="shared" si="62"/>
        <v>413.38106133687484</v>
      </c>
    </row>
    <row r="68" spans="4:25">
      <c r="D68" s="327"/>
      <c r="E68" s="303">
        <f t="shared" si="47"/>
        <v>1.2078867653496324</v>
      </c>
      <c r="F68" s="312">
        <f t="shared" si="63"/>
        <v>204.60818182727274</v>
      </c>
      <c r="G68" s="305">
        <f t="shared" si="48"/>
        <v>1.8474747352400372E-2</v>
      </c>
      <c r="H68" s="344">
        <f t="shared" si="64"/>
        <v>111.34545481818181</v>
      </c>
      <c r="I68" s="307">
        <f t="shared" si="45"/>
        <v>6026.9</v>
      </c>
      <c r="J68" s="308">
        <f t="shared" si="49"/>
        <v>57.925493343181046</v>
      </c>
      <c r="K68" s="307">
        <f t="shared" si="50"/>
        <v>91.779806500230052</v>
      </c>
      <c r="L68" s="345">
        <f t="shared" si="46"/>
        <v>8.726417475728157</v>
      </c>
      <c r="M68" s="307">
        <f t="shared" si="51"/>
        <v>98.929811705795146</v>
      </c>
      <c r="N68" s="307">
        <f t="shared" si="52"/>
        <v>99.31393661568741</v>
      </c>
      <c r="O68" s="309">
        <f t="shared" si="53"/>
        <v>0.40270665746322271</v>
      </c>
      <c r="P68" s="308">
        <f t="shared" si="53"/>
        <v>4.5654123133940976</v>
      </c>
      <c r="Q68" s="310">
        <f t="shared" si="54"/>
        <v>4.5831389072616648</v>
      </c>
      <c r="R68" s="309">
        <f t="shared" si="55"/>
        <v>10.893617487274765</v>
      </c>
      <c r="S68" s="308">
        <f t="shared" si="56"/>
        <v>123.49896504591915</v>
      </c>
      <c r="T68" s="310">
        <f t="shared" si="57"/>
        <v>123.97848712325948</v>
      </c>
      <c r="U68" s="311">
        <f t="shared" si="58"/>
        <v>198.84735865644356</v>
      </c>
      <c r="V68" s="308">
        <f t="shared" si="59"/>
        <v>-123.09625838845592</v>
      </c>
      <c r="W68" s="308">
        <f t="shared" si="60"/>
        <v>214.30638845711243</v>
      </c>
      <c r="X68" s="312">
        <f t="shared" si="61"/>
        <v>247.14351491141392</v>
      </c>
      <c r="Y68" s="312">
        <f t="shared" si="62"/>
        <v>428.06512458772534</v>
      </c>
    </row>
    <row r="69" spans="4:25">
      <c r="D69" s="327"/>
      <c r="E69" s="303">
        <f t="shared" si="47"/>
        <v>1.2503636223108543</v>
      </c>
      <c r="F69" s="312">
        <f t="shared" si="63"/>
        <v>205.07212121818182</v>
      </c>
      <c r="G69" s="305">
        <f t="shared" si="48"/>
        <v>2.0784090750710072E-2</v>
      </c>
      <c r="H69" s="344">
        <f t="shared" si="64"/>
        <v>125.26363654545453</v>
      </c>
      <c r="I69" s="307">
        <f t="shared" si="45"/>
        <v>6026.9</v>
      </c>
      <c r="J69" s="308">
        <f t="shared" si="49"/>
        <v>65.308017658615569</v>
      </c>
      <c r="K69" s="307">
        <f t="shared" si="50"/>
        <v>103.47701638223423</v>
      </c>
      <c r="L69" s="345">
        <f t="shared" si="46"/>
        <v>8.726417475728157</v>
      </c>
      <c r="M69" s="307">
        <f t="shared" si="51"/>
        <v>111.54839656897168</v>
      </c>
      <c r="N69" s="307">
        <f t="shared" si="52"/>
        <v>111.88920921639078</v>
      </c>
      <c r="O69" s="309">
        <f t="shared" si="53"/>
        <v>0.40270665746322271</v>
      </c>
      <c r="P69" s="308">
        <f t="shared" si="53"/>
        <v>5.1477346863839157</v>
      </c>
      <c r="Q69" s="310">
        <f t="shared" si="54"/>
        <v>5.1634625062418449</v>
      </c>
      <c r="R69" s="309">
        <f t="shared" si="55"/>
        <v>10.91831825054194</v>
      </c>
      <c r="S69" s="308">
        <f t="shared" si="56"/>
        <v>139.56711301805635</v>
      </c>
      <c r="T69" s="310">
        <f t="shared" si="57"/>
        <v>139.99353095630894</v>
      </c>
      <c r="U69" s="311">
        <f t="shared" si="58"/>
        <v>199.29823565283283</v>
      </c>
      <c r="V69" s="308">
        <f t="shared" si="59"/>
        <v>-139.16440636059312</v>
      </c>
      <c r="W69" s="308">
        <f t="shared" si="60"/>
        <v>215.3642885897587</v>
      </c>
      <c r="X69" s="312">
        <f t="shared" si="61"/>
        <v>256.4147203213364</v>
      </c>
      <c r="Y69" s="312">
        <f t="shared" si="62"/>
        <v>444.12332340511853</v>
      </c>
    </row>
    <row r="70" spans="4:25">
      <c r="E70" s="303">
        <f t="shared" si="47"/>
        <v>1.2962316006488344</v>
      </c>
      <c r="F70" s="312">
        <f t="shared" si="63"/>
        <v>205.53606060909092</v>
      </c>
      <c r="G70" s="305">
        <f t="shared" si="48"/>
        <v>2.3093434149019775E-2</v>
      </c>
      <c r="H70" s="344">
        <f t="shared" si="64"/>
        <v>139.18181827272727</v>
      </c>
      <c r="I70" s="307">
        <f>I71</f>
        <v>6026.9</v>
      </c>
      <c r="J70" s="308">
        <f t="shared" si="49"/>
        <v>72.721255617120008</v>
      </c>
      <c r="K70" s="307">
        <f t="shared" si="50"/>
        <v>115.22289036798929</v>
      </c>
      <c r="L70" s="345">
        <f>L71</f>
        <v>8.726417475728157</v>
      </c>
      <c r="M70" s="307">
        <f t="shared" si="51"/>
        <v>124.22306110081479</v>
      </c>
      <c r="N70" s="307">
        <f t="shared" si="52"/>
        <v>124.52919043829627</v>
      </c>
      <c r="O70" s="309">
        <f t="shared" si="53"/>
        <v>0.40270665746322271</v>
      </c>
      <c r="P70" s="308">
        <f t="shared" si="53"/>
        <v>5.7326450235621502</v>
      </c>
      <c r="Q70" s="310">
        <f t="shared" si="54"/>
        <v>5.746772278256473</v>
      </c>
      <c r="R70" s="309">
        <f t="shared" si="55"/>
        <v>10.943019013809119</v>
      </c>
      <c r="S70" s="308">
        <f t="shared" si="56"/>
        <v>155.77702113848937</v>
      </c>
      <c r="T70" s="310">
        <f t="shared" si="57"/>
        <v>156.16091053755403</v>
      </c>
      <c r="U70" s="311">
        <f t="shared" si="58"/>
        <v>199.74911264922213</v>
      </c>
      <c r="V70" s="308">
        <f t="shared" si="59"/>
        <v>-155.37431448102615</v>
      </c>
      <c r="W70" s="308">
        <f t="shared" si="60"/>
        <v>216.42477668659339</v>
      </c>
      <c r="X70" s="312">
        <f t="shared" si="61"/>
        <v>266.42233683437775</v>
      </c>
      <c r="Y70" s="312">
        <f t="shared" si="62"/>
        <v>461.45702366837139</v>
      </c>
    </row>
    <row r="71" spans="4:25">
      <c r="D71" s="315" t="s">
        <v>212</v>
      </c>
      <c r="E71" s="316">
        <f t="shared" si="47"/>
        <v>1.3452028521970512</v>
      </c>
      <c r="F71" s="325">
        <f>F49</f>
        <v>206</v>
      </c>
      <c r="G71" s="318">
        <f t="shared" si="48"/>
        <v>2.5402777547329475E-2</v>
      </c>
      <c r="H71" s="346">
        <f>H49</f>
        <v>153.1</v>
      </c>
      <c r="I71" s="320">
        <f>F71*120/$B$3-H71</f>
        <v>6026.9</v>
      </c>
      <c r="J71" s="321">
        <f t="shared" si="49"/>
        <v>80.164959683397527</v>
      </c>
      <c r="K71" s="320">
        <f t="shared" si="50"/>
        <v>127.01703625122586</v>
      </c>
      <c r="L71" s="347">
        <f>L49</f>
        <v>8.726417475728157</v>
      </c>
      <c r="M71" s="320">
        <f t="shared" si="51"/>
        <v>136.95380530132437</v>
      </c>
      <c r="N71" s="320">
        <f t="shared" si="52"/>
        <v>137.23153846136736</v>
      </c>
      <c r="O71" s="322">
        <f t="shared" si="53"/>
        <v>0.40270665746322271</v>
      </c>
      <c r="P71" s="321">
        <f t="shared" si="53"/>
        <v>6.3201433249287984</v>
      </c>
      <c r="Q71" s="323">
        <f t="shared" si="54"/>
        <v>6.3329601530095889</v>
      </c>
      <c r="R71" s="322">
        <f t="shared" si="55"/>
        <v>10.967719777076294</v>
      </c>
      <c r="S71" s="321">
        <f t="shared" si="56"/>
        <v>172.12916562003633</v>
      </c>
      <c r="T71" s="323">
        <f t="shared" si="57"/>
        <v>172.47823205888437</v>
      </c>
      <c r="U71" s="324">
        <f t="shared" si="58"/>
        <v>200.19998964561137</v>
      </c>
      <c r="V71" s="321">
        <f t="shared" si="59"/>
        <v>-171.7264589625731</v>
      </c>
      <c r="W71" s="321">
        <f t="shared" si="60"/>
        <v>217.48785274761644</v>
      </c>
      <c r="X71" s="325">
        <f t="shared" si="61"/>
        <v>277.11178755259255</v>
      </c>
      <c r="Y71" s="325">
        <f t="shared" si="62"/>
        <v>479.97169541732308</v>
      </c>
    </row>
    <row r="72" spans="4:25">
      <c r="E72" s="316">
        <f t="shared" si="47"/>
        <v>1.3453429849904273</v>
      </c>
      <c r="F72" s="325">
        <f>F71</f>
        <v>206</v>
      </c>
      <c r="G72" s="318">
        <f t="shared" si="48"/>
        <v>2.6232391445021489E-2</v>
      </c>
      <c r="H72" s="346">
        <f>H71+5</f>
        <v>158.1</v>
      </c>
      <c r="I72" s="320">
        <f>I71</f>
        <v>6026.9</v>
      </c>
      <c r="J72" s="321">
        <f t="shared" si="49"/>
        <v>80.576488104061497</v>
      </c>
      <c r="K72" s="320">
        <f t="shared" si="50"/>
        <v>127.66908074213966</v>
      </c>
      <c r="L72" s="348">
        <v>8.6129999999999995</v>
      </c>
      <c r="M72" s="320">
        <f t="shared" si="51"/>
        <v>139.58837265888312</v>
      </c>
      <c r="N72" s="320">
        <f t="shared" si="52"/>
        <v>139.85384353157843</v>
      </c>
      <c r="O72" s="322">
        <f t="shared" si="53"/>
        <v>0.39747266852383939</v>
      </c>
      <c r="P72" s="321">
        <f t="shared" si="53"/>
        <v>6.441723322376224</v>
      </c>
      <c r="Q72" s="323">
        <f t="shared" si="54"/>
        <v>6.4539742704994749</v>
      </c>
      <c r="R72" s="322">
        <f t="shared" si="55"/>
        <v>10.82517203683012</v>
      </c>
      <c r="S72" s="321">
        <f t="shared" si="56"/>
        <v>175.44039804639073</v>
      </c>
      <c r="T72" s="323">
        <f t="shared" si="57"/>
        <v>175.77405273902912</v>
      </c>
      <c r="U72" s="324">
        <f t="shared" si="58"/>
        <v>197.59798515412746</v>
      </c>
      <c r="V72" s="321">
        <f t="shared" si="59"/>
        <v>-175.04292537786688</v>
      </c>
      <c r="W72" s="321">
        <f t="shared" si="60"/>
        <v>214.86488051333379</v>
      </c>
      <c r="X72" s="325">
        <f t="shared" si="61"/>
        <v>277.14065490802801</v>
      </c>
      <c r="Y72" s="325">
        <f t="shared" si="62"/>
        <v>480.02169514361742</v>
      </c>
    </row>
    <row r="73" spans="4:25">
      <c r="E73" s="316">
        <f t="shared" si="47"/>
        <v>1.3453860838278588</v>
      </c>
      <c r="F73" s="325">
        <f>F72</f>
        <v>206</v>
      </c>
      <c r="G73" s="318">
        <f t="shared" si="48"/>
        <v>2.7062005342713503E-2</v>
      </c>
      <c r="H73" s="346">
        <f>H72+5</f>
        <v>163.1</v>
      </c>
      <c r="I73" s="320">
        <f>I72</f>
        <v>6026.9</v>
      </c>
      <c r="J73" s="321">
        <f t="shared" si="49"/>
        <v>80.888954568207268</v>
      </c>
      <c r="K73" s="320">
        <f t="shared" si="50"/>
        <v>128.16416692892801</v>
      </c>
      <c r="L73" s="348">
        <v>8.5</v>
      </c>
      <c r="M73" s="320">
        <f t="shared" si="51"/>
        <v>142.11365652985072</v>
      </c>
      <c r="N73" s="320">
        <f t="shared" si="52"/>
        <v>142.36762754321776</v>
      </c>
      <c r="O73" s="322">
        <f t="shared" si="53"/>
        <v>0.39225794525167013</v>
      </c>
      <c r="P73" s="321">
        <f t="shared" si="53"/>
        <v>6.5582601061883334</v>
      </c>
      <c r="Q73" s="323">
        <f t="shared" si="54"/>
        <v>6.5699803588773742</v>
      </c>
      <c r="R73" s="322">
        <f t="shared" si="55"/>
        <v>10.683148997220018</v>
      </c>
      <c r="S73" s="321">
        <f t="shared" si="56"/>
        <v>178.61427849978173</v>
      </c>
      <c r="T73" s="323">
        <f t="shared" si="57"/>
        <v>178.93347969704939</v>
      </c>
      <c r="U73" s="324">
        <f t="shared" si="58"/>
        <v>195.00555831999114</v>
      </c>
      <c r="V73" s="321">
        <f t="shared" si="59"/>
        <v>-178.22202055453008</v>
      </c>
      <c r="W73" s="321">
        <f t="shared" si="60"/>
        <v>212.2469674233995</v>
      </c>
      <c r="X73" s="325">
        <f t="shared" si="61"/>
        <v>277.1495332685389</v>
      </c>
      <c r="Y73" s="325">
        <f t="shared" si="62"/>
        <v>480.03707291511023</v>
      </c>
    </row>
    <row r="74" spans="4:25">
      <c r="E74" s="303">
        <f t="shared" si="47"/>
        <v>0.60629173817301563</v>
      </c>
      <c r="F74" s="312">
        <f>F73</f>
        <v>206</v>
      </c>
      <c r="G74" s="305">
        <f t="shared" si="48"/>
        <v>2.8721233138097529E-2</v>
      </c>
      <c r="H74" s="344">
        <f>H73+10</f>
        <v>173.1</v>
      </c>
      <c r="I74" s="307">
        <f>I73</f>
        <v>6026.9</v>
      </c>
      <c r="J74" s="308">
        <f t="shared" si="49"/>
        <v>16.503302974163368</v>
      </c>
      <c r="K74" s="307">
        <f t="shared" si="50"/>
        <v>26.148589613379468</v>
      </c>
      <c r="L74" s="349">
        <v>3.73</v>
      </c>
      <c r="M74" s="307">
        <f t="shared" si="51"/>
        <v>66.18641022543585</v>
      </c>
      <c r="N74" s="307">
        <f t="shared" si="52"/>
        <v>66.29143080768192</v>
      </c>
      <c r="O74" s="309">
        <f t="shared" si="53"/>
        <v>0.17213201597514466</v>
      </c>
      <c r="P74" s="308">
        <f t="shared" si="53"/>
        <v>3.0543700327780701</v>
      </c>
      <c r="Q74" s="310">
        <f t="shared" si="54"/>
        <v>3.0592165219311265</v>
      </c>
      <c r="R74" s="309">
        <f t="shared" si="55"/>
        <v>4.6880171481918431</v>
      </c>
      <c r="S74" s="308">
        <f t="shared" si="56"/>
        <v>83.185797885818559</v>
      </c>
      <c r="T74" s="310">
        <f t="shared" si="57"/>
        <v>83.317792065572618</v>
      </c>
      <c r="U74" s="311">
        <f t="shared" si="58"/>
        <v>85.573027356890222</v>
      </c>
      <c r="V74" s="308">
        <f t="shared" si="59"/>
        <v>-83.013665869843408</v>
      </c>
      <c r="W74" s="308">
        <f t="shared" si="60"/>
        <v>93.315414537860136</v>
      </c>
      <c r="X74" s="312">
        <f t="shared" si="61"/>
        <v>124.89609806364122</v>
      </c>
      <c r="Y74" s="312">
        <f t="shared" si="62"/>
        <v>216.32638751333144</v>
      </c>
    </row>
    <row r="75" spans="4:25" ht="15.75" thickBot="1">
      <c r="E75" s="303">
        <f t="shared" si="47"/>
        <v>0.6176574841451582</v>
      </c>
      <c r="F75" s="312">
        <f>F74</f>
        <v>206</v>
      </c>
      <c r="G75" s="305">
        <f t="shared" si="48"/>
        <v>3.0380460933481557E-2</v>
      </c>
      <c r="H75" s="308">
        <f>H74+10</f>
        <v>183.1</v>
      </c>
      <c r="I75" s="307">
        <f>I74</f>
        <v>6026.9</v>
      </c>
      <c r="J75" s="308">
        <f t="shared" si="49"/>
        <v>17.147681067872867</v>
      </c>
      <c r="K75" s="307">
        <f t="shared" si="50"/>
        <v>27.169571798257252</v>
      </c>
      <c r="L75" s="331">
        <v>3.7</v>
      </c>
      <c r="M75" s="307">
        <f t="shared" si="51"/>
        <v>69.446920971816624</v>
      </c>
      <c r="N75" s="307">
        <f t="shared" si="52"/>
        <v>69.545415610705376</v>
      </c>
      <c r="O75" s="309">
        <f t="shared" si="53"/>
        <v>0.17074757616837405</v>
      </c>
      <c r="P75" s="308">
        <f t="shared" si="53"/>
        <v>3.2048360617011658</v>
      </c>
      <c r="Q75" s="310">
        <f t="shared" si="54"/>
        <v>3.2093813916622018</v>
      </c>
      <c r="R75" s="309">
        <f t="shared" si="55"/>
        <v>4.6503119164369489</v>
      </c>
      <c r="S75" s="308">
        <f t="shared" si="56"/>
        <v>87.283741663538891</v>
      </c>
      <c r="T75" s="310">
        <f t="shared" si="57"/>
        <v>87.407533769736062</v>
      </c>
      <c r="U75" s="350">
        <f t="shared" si="58"/>
        <v>84.884772445172615</v>
      </c>
      <c r="V75" s="308">
        <f t="shared" si="59"/>
        <v>-87.11299408737051</v>
      </c>
      <c r="W75" s="308">
        <f t="shared" si="60"/>
        <v>92.739920423310735</v>
      </c>
      <c r="X75" s="312">
        <f t="shared" si="61"/>
        <v>127.2374417339026</v>
      </c>
      <c r="Y75" s="312">
        <f t="shared" si="62"/>
        <v>220.38171370820396</v>
      </c>
    </row>
    <row r="76" spans="4:25">
      <c r="E76" s="303"/>
      <c r="F76" s="304"/>
      <c r="G76" s="305"/>
      <c r="H76" s="308"/>
      <c r="I76" s="307"/>
      <c r="J76" s="308"/>
      <c r="K76" s="307"/>
      <c r="L76" s="331"/>
      <c r="M76" s="307"/>
      <c r="N76" s="307"/>
      <c r="O76" s="309"/>
      <c r="P76" s="308"/>
      <c r="Q76" s="310"/>
      <c r="R76" s="309"/>
      <c r="S76" s="308"/>
      <c r="T76" s="310"/>
      <c r="U76" s="311"/>
      <c r="V76" s="308"/>
      <c r="W76" s="308"/>
      <c r="X76" s="312"/>
      <c r="Y76" s="312"/>
    </row>
    <row r="77" spans="4:25">
      <c r="E77" s="303"/>
      <c r="F77" s="304"/>
      <c r="G77" s="305"/>
      <c r="H77" s="308"/>
      <c r="I77" s="307"/>
      <c r="J77" s="308"/>
      <c r="K77" s="307"/>
      <c r="L77" s="331"/>
      <c r="M77" s="307"/>
      <c r="N77" s="307"/>
      <c r="O77" s="309"/>
      <c r="P77" s="308"/>
      <c r="Q77" s="310"/>
      <c r="R77" s="309"/>
      <c r="S77" s="308"/>
      <c r="T77" s="310"/>
      <c r="U77" s="311"/>
      <c r="V77" s="308"/>
      <c r="W77" s="308"/>
      <c r="X77" s="312"/>
      <c r="Y77" s="312"/>
    </row>
    <row r="78" spans="4:25">
      <c r="E78" s="303"/>
      <c r="F78" s="304"/>
      <c r="G78" s="305"/>
      <c r="H78" s="308"/>
      <c r="I78" s="307"/>
      <c r="J78" s="308"/>
      <c r="K78" s="307"/>
      <c r="L78" s="331"/>
      <c r="M78" s="307"/>
      <c r="N78" s="307"/>
      <c r="O78" s="309"/>
      <c r="P78" s="308"/>
      <c r="Q78" s="310"/>
      <c r="R78" s="309"/>
      <c r="S78" s="308"/>
      <c r="T78" s="310"/>
      <c r="U78" s="311"/>
      <c r="V78" s="308"/>
      <c r="W78" s="308"/>
      <c r="X78" s="312"/>
      <c r="Y78" s="312"/>
    </row>
    <row r="79" spans="4:25">
      <c r="E79" s="303"/>
      <c r="F79" s="304"/>
      <c r="G79" s="305"/>
      <c r="H79" s="308"/>
      <c r="I79" s="307"/>
      <c r="J79" s="308"/>
      <c r="K79" s="307"/>
      <c r="L79" s="331"/>
      <c r="M79" s="307"/>
      <c r="N79" s="307"/>
      <c r="O79" s="309"/>
      <c r="P79" s="308"/>
      <c r="Q79" s="310"/>
      <c r="R79" s="309"/>
      <c r="S79" s="308"/>
      <c r="T79" s="310"/>
      <c r="U79" s="311"/>
      <c r="V79" s="308"/>
      <c r="W79" s="308"/>
      <c r="X79" s="312"/>
      <c r="Y79" s="312"/>
    </row>
    <row r="80" spans="4:25">
      <c r="E80" s="303"/>
      <c r="F80" s="304"/>
      <c r="G80" s="305"/>
      <c r="H80" s="308"/>
      <c r="I80" s="307"/>
      <c r="J80" s="308"/>
      <c r="K80" s="307"/>
      <c r="L80" s="331"/>
      <c r="M80" s="307"/>
      <c r="N80" s="307"/>
      <c r="O80" s="309"/>
      <c r="P80" s="308"/>
      <c r="Q80" s="310"/>
      <c r="R80" s="309"/>
      <c r="S80" s="308"/>
      <c r="T80" s="310"/>
      <c r="U80" s="311"/>
      <c r="V80" s="308"/>
      <c r="W80" s="308"/>
      <c r="X80" s="312"/>
      <c r="Y80" s="312"/>
    </row>
    <row r="81" spans="5:25">
      <c r="E81" s="303"/>
      <c r="F81" s="304"/>
      <c r="G81" s="305"/>
      <c r="H81" s="308"/>
      <c r="I81" s="307"/>
      <c r="J81" s="308"/>
      <c r="K81" s="307"/>
      <c r="L81" s="331"/>
      <c r="M81" s="307"/>
      <c r="N81" s="307"/>
      <c r="O81" s="309"/>
      <c r="P81" s="308"/>
      <c r="Q81" s="310"/>
      <c r="R81" s="309"/>
      <c r="S81" s="308"/>
      <c r="T81" s="310"/>
      <c r="U81" s="311"/>
      <c r="V81" s="308"/>
      <c r="W81" s="308"/>
      <c r="X81" s="312"/>
      <c r="Y81" s="312"/>
    </row>
    <row r="82" spans="5:25" ht="15.75" thickBot="1">
      <c r="E82" s="289" t="s">
        <v>218</v>
      </c>
    </row>
    <row r="83" spans="5:25">
      <c r="E83" s="298" t="s">
        <v>187</v>
      </c>
      <c r="F83" s="291" t="s">
        <v>188</v>
      </c>
      <c r="G83" s="291" t="s">
        <v>189</v>
      </c>
      <c r="H83" s="291" t="s">
        <v>158</v>
      </c>
      <c r="I83" s="291" t="s">
        <v>82</v>
      </c>
      <c r="J83" s="291" t="s">
        <v>190</v>
      </c>
      <c r="K83" s="291" t="s">
        <v>191</v>
      </c>
      <c r="L83" s="291" t="s">
        <v>192</v>
      </c>
      <c r="M83" s="291" t="s">
        <v>193</v>
      </c>
      <c r="N83" s="291" t="s">
        <v>194</v>
      </c>
      <c r="O83" s="299" t="s">
        <v>195</v>
      </c>
      <c r="P83" s="300" t="s">
        <v>196</v>
      </c>
      <c r="Q83" s="301" t="s">
        <v>197</v>
      </c>
      <c r="R83" s="299" t="s">
        <v>198</v>
      </c>
      <c r="S83" s="300" t="s">
        <v>199</v>
      </c>
      <c r="T83" s="300" t="s">
        <v>200</v>
      </c>
      <c r="U83" s="302" t="s">
        <v>160</v>
      </c>
      <c r="V83" s="291" t="s">
        <v>201</v>
      </c>
      <c r="W83" s="291" t="s">
        <v>202</v>
      </c>
      <c r="X83" s="291" t="s">
        <v>203</v>
      </c>
      <c r="Y83" s="291" t="s">
        <v>204</v>
      </c>
    </row>
    <row r="84" spans="5:25">
      <c r="E84" s="316">
        <f t="shared" ref="E84:E91" si="65">X84/F84</f>
        <v>5.5261187214885208</v>
      </c>
      <c r="F84" s="325">
        <f>F5</f>
        <v>43</v>
      </c>
      <c r="G84" s="318">
        <f>H84/I84</f>
        <v>2.1377672209026127E-2</v>
      </c>
      <c r="H84" s="321">
        <f>H5</f>
        <v>27</v>
      </c>
      <c r="I84" s="320">
        <f>F84*120/$B$3-H84</f>
        <v>1263</v>
      </c>
      <c r="J84" s="321">
        <f>J5</f>
        <v>80.242976516794855</v>
      </c>
      <c r="K84" s="320">
        <f>J84/I84*1000*30/PI()</f>
        <v>606.70148983633146</v>
      </c>
      <c r="L84" s="321">
        <f>L5</f>
        <v>45.5</v>
      </c>
      <c r="M84" s="320">
        <f>M5</f>
        <v>125.43824190485886</v>
      </c>
      <c r="N84" s="320">
        <f>(L84^2+M84^2)^0.5</f>
        <v>133.43538710620166</v>
      </c>
      <c r="O84" s="322">
        <f>$B$16*L84/1000</f>
        <v>2.0997337069354107</v>
      </c>
      <c r="P84" s="351">
        <f>$B$16*M84/1000</f>
        <v>5.788723179480221</v>
      </c>
      <c r="Q84" s="323">
        <f>N84*$B$16/1000</f>
        <v>6.1577753847223367</v>
      </c>
      <c r="R84" s="322">
        <f>2*PI()*F84*$B$19*L84/1000</f>
        <v>11.936939470623052</v>
      </c>
      <c r="S84" s="321">
        <f>2*PI()*F84*$B$19*M84/1000</f>
        <v>32.908762657575217</v>
      </c>
      <c r="T84" s="321">
        <f>2*PI()*F84*$B$19*N84/1000</f>
        <v>35.006816244524941</v>
      </c>
      <c r="U84" s="324">
        <f>$B$21*2*PI()*F84*L84/1000</f>
        <v>217.89170465623221</v>
      </c>
      <c r="V84" s="321">
        <f>O84-S84</f>
        <v>-30.809028950639807</v>
      </c>
      <c r="W84" s="321">
        <f>P84+R84+U84</f>
        <v>235.6173673063355</v>
      </c>
      <c r="X84" s="325">
        <f>(W84^2+V84^2)^0.5</f>
        <v>237.62310502400641</v>
      </c>
      <c r="Y84" s="325">
        <f>X84*3^0.5</f>
        <v>411.57529095385439</v>
      </c>
    </row>
    <row r="85" spans="5:25">
      <c r="E85" s="303">
        <f t="shared" si="65"/>
        <v>4.6013318902845812</v>
      </c>
      <c r="F85" s="304">
        <f t="shared" ref="F85:F90" si="66">IF(F84*1.2&gt;$F$92,$F$92,F84*1.2)</f>
        <v>51.6</v>
      </c>
      <c r="G85" s="305">
        <f>H85/I85</f>
        <v>2.137767220902613E-2</v>
      </c>
      <c r="H85" s="308">
        <f>H84*F85/F84</f>
        <v>32.4</v>
      </c>
      <c r="I85" s="307">
        <f t="shared" ref="I85:I92" si="67">F85*120/$B$3-H85</f>
        <v>1515.6</v>
      </c>
      <c r="J85" s="308">
        <f t="shared" ref="J85:J91" si="68">J84</f>
        <v>80.242976516794855</v>
      </c>
      <c r="K85" s="307">
        <f>J85/I85*1000*30/PI()</f>
        <v>505.5845748636097</v>
      </c>
      <c r="L85" s="331">
        <f t="shared" ref="L85:L90" si="69">L84*F84/F85/1.053</f>
        <v>36.008230452674894</v>
      </c>
      <c r="M85" s="307">
        <f>M84*J85/J84</f>
        <v>125.43824190485886</v>
      </c>
      <c r="N85" s="307">
        <f>(L85^2+M85^2)^0.5</f>
        <v>130.5041960724437</v>
      </c>
      <c r="O85" s="309">
        <f>$B$16*L85/1000</f>
        <v>1.6617075870017493</v>
      </c>
      <c r="P85" s="308">
        <f>$B$16*M85/1000</f>
        <v>5.788723179480221</v>
      </c>
      <c r="Q85" s="310">
        <f>N85*$B$16/1000</f>
        <v>6.0225067997762167</v>
      </c>
      <c r="R85" s="309">
        <f>2*PI()*F85*$B$19*L85/1000</f>
        <v>11.336124853393212</v>
      </c>
      <c r="S85" s="308">
        <f>2*PI()*F85*$B$19*M85/1000</f>
        <v>39.490515189090253</v>
      </c>
      <c r="T85" s="308">
        <f>2*PI()*F85*$B$19*N85/1000</f>
        <v>41.085380813514284</v>
      </c>
      <c r="U85" s="311">
        <f>$B$21*1.05*2*PI()*F85*L85/1000</f>
        <v>217.27093056889254</v>
      </c>
      <c r="V85" s="308">
        <f>O85-S85</f>
        <v>-37.828807602088503</v>
      </c>
      <c r="W85" s="308">
        <f>P85+R85+U85</f>
        <v>234.39577860176598</v>
      </c>
      <c r="X85" s="312">
        <f>(W85^2+V85^2)^0.5</f>
        <v>237.4287255386844</v>
      </c>
      <c r="Y85" s="312">
        <f>X85*3^0.5</f>
        <v>411.2386158093276</v>
      </c>
    </row>
    <row r="86" spans="5:25">
      <c r="E86" s="303">
        <f t="shared" si="65"/>
        <v>3.6757359845813657</v>
      </c>
      <c r="F86" s="304">
        <f t="shared" si="66"/>
        <v>61.92</v>
      </c>
      <c r="G86" s="305">
        <f t="shared" ref="G86:G91" si="70">H86/I86</f>
        <v>2.1377672209026123E-2</v>
      </c>
      <c r="H86" s="308">
        <f t="shared" ref="H86:H91" si="71">H85*F86/F85</f>
        <v>38.879999999999995</v>
      </c>
      <c r="I86" s="307">
        <f t="shared" si="67"/>
        <v>1818.7200000000003</v>
      </c>
      <c r="J86" s="308">
        <f t="shared" si="68"/>
        <v>80.242976516794855</v>
      </c>
      <c r="K86" s="307">
        <f t="shared" ref="K86:K91" si="72">J86/I86*1000*30/PI()</f>
        <v>421.32047905300794</v>
      </c>
      <c r="L86" s="331">
        <f t="shared" si="69"/>
        <v>28.496541985339423</v>
      </c>
      <c r="M86" s="307">
        <f t="shared" ref="M86:M91" si="73">M85*J86/J85</f>
        <v>125.43824190485886</v>
      </c>
      <c r="N86" s="307">
        <f t="shared" ref="N86:N91" si="74">(L86^2+M86^2)^0.5</f>
        <v>128.63438668297098</v>
      </c>
      <c r="O86" s="309">
        <f t="shared" ref="O86:P91" si="75">$B$16*L86/1000</f>
        <v>1.315058235993787</v>
      </c>
      <c r="P86" s="308">
        <f t="shared" si="75"/>
        <v>5.788723179480221</v>
      </c>
      <c r="Q86" s="310">
        <f t="shared" ref="Q86:Q91" si="76">N86*$B$16/1000</f>
        <v>5.9362188481142351</v>
      </c>
      <c r="R86" s="309">
        <f t="shared" ref="R86:R91" si="77">2*PI()*F86*$B$19*L86/1000</f>
        <v>10.765550667989755</v>
      </c>
      <c r="S86" s="308">
        <f t="shared" ref="S86:S91" si="78">2*PI()*F86*$B$19*M86/1000</f>
        <v>47.388618226908314</v>
      </c>
      <c r="T86" s="308">
        <f t="shared" ref="T86:T91" si="79">2*PI()*F86*$B$19*N86/1000</f>
        <v>48.596072049505416</v>
      </c>
      <c r="U86" s="311">
        <f t="shared" ref="U86:U91" si="80">$B$21*1.05*2*PI()*F86*L86/1000</f>
        <v>206.33516673209166</v>
      </c>
      <c r="V86" s="308">
        <f t="shared" ref="V86:V91" si="81">O86-S86</f>
        <v>-46.073559990914525</v>
      </c>
      <c r="W86" s="308">
        <f t="shared" ref="W86:W91" si="82">P86+R86+U86</f>
        <v>222.88944057956164</v>
      </c>
      <c r="X86" s="312">
        <f t="shared" ref="X86:X91" si="83">(W86^2+V86^2)^0.5</f>
        <v>227.60157216527818</v>
      </c>
      <c r="Y86" s="312">
        <f t="shared" ref="Y86:Y91" si="84">X86*3^0.5</f>
        <v>394.21748687281615</v>
      </c>
    </row>
    <row r="87" spans="5:25">
      <c r="E87" s="303">
        <f t="shared" si="65"/>
        <v>2.9499157426396714</v>
      </c>
      <c r="F87" s="304">
        <f t="shared" si="66"/>
        <v>74.304000000000002</v>
      </c>
      <c r="G87" s="305">
        <f t="shared" si="70"/>
        <v>2.1377672209026127E-2</v>
      </c>
      <c r="H87" s="308">
        <f t="shared" si="71"/>
        <v>46.655999999999999</v>
      </c>
      <c r="I87" s="307">
        <f t="shared" si="67"/>
        <v>2182.4639999999999</v>
      </c>
      <c r="J87" s="308">
        <f t="shared" si="68"/>
        <v>80.242976516794855</v>
      </c>
      <c r="K87" s="307">
        <f t="shared" si="72"/>
        <v>351.10039921084007</v>
      </c>
      <c r="L87" s="331">
        <f t="shared" si="69"/>
        <v>22.551869250822591</v>
      </c>
      <c r="M87" s="307">
        <f t="shared" si="73"/>
        <v>125.43824190485886</v>
      </c>
      <c r="N87" s="307">
        <f t="shared" si="74"/>
        <v>127.44935989987587</v>
      </c>
      <c r="O87" s="309">
        <f t="shared" si="75"/>
        <v>1.0407235169308224</v>
      </c>
      <c r="P87" s="308">
        <f t="shared" si="75"/>
        <v>5.788723179480221</v>
      </c>
      <c r="Q87" s="310">
        <f t="shared" si="76"/>
        <v>5.8815322397606957</v>
      </c>
      <c r="R87" s="309">
        <f t="shared" si="77"/>
        <v>10.22369484139578</v>
      </c>
      <c r="S87" s="308">
        <f t="shared" si="78"/>
        <v>56.866341872289979</v>
      </c>
      <c r="T87" s="308">
        <f t="shared" si="79"/>
        <v>57.778064818286737</v>
      </c>
      <c r="U87" s="311">
        <f t="shared" si="80"/>
        <v>195.94982595640238</v>
      </c>
      <c r="V87" s="308">
        <f t="shared" si="81"/>
        <v>-55.825618355359154</v>
      </c>
      <c r="W87" s="308">
        <f t="shared" si="82"/>
        <v>211.96224397727838</v>
      </c>
      <c r="X87" s="312">
        <f t="shared" si="83"/>
        <v>219.19053934109814</v>
      </c>
      <c r="Y87" s="312">
        <f t="shared" si="84"/>
        <v>379.64915067720676</v>
      </c>
    </row>
    <row r="88" spans="5:25">
      <c r="E88" s="303">
        <f t="shared" si="65"/>
        <v>2.3838922074646476</v>
      </c>
      <c r="F88" s="304">
        <f t="shared" si="66"/>
        <v>89.1648</v>
      </c>
      <c r="G88" s="305">
        <f t="shared" si="70"/>
        <v>2.1377672209026127E-2</v>
      </c>
      <c r="H88" s="308">
        <f t="shared" si="71"/>
        <v>55.987199999999994</v>
      </c>
      <c r="I88" s="307">
        <f t="shared" si="67"/>
        <v>2618.9567999999999</v>
      </c>
      <c r="J88" s="308">
        <f t="shared" si="68"/>
        <v>80.242976516794855</v>
      </c>
      <c r="K88" s="307">
        <f t="shared" si="72"/>
        <v>292.58366600903338</v>
      </c>
      <c r="L88" s="331">
        <f t="shared" si="69"/>
        <v>17.847316596092586</v>
      </c>
      <c r="M88" s="307">
        <f t="shared" si="73"/>
        <v>125.43824190485886</v>
      </c>
      <c r="N88" s="307">
        <f t="shared" si="74"/>
        <v>126.70153606749624</v>
      </c>
      <c r="O88" s="309">
        <f t="shared" si="75"/>
        <v>0.82361785132227172</v>
      </c>
      <c r="P88" s="308">
        <f t="shared" si="75"/>
        <v>5.788723179480221</v>
      </c>
      <c r="Q88" s="310">
        <f t="shared" si="76"/>
        <v>5.8470216703607587</v>
      </c>
      <c r="R88" s="309">
        <f t="shared" si="77"/>
        <v>9.7091119101574357</v>
      </c>
      <c r="S88" s="308">
        <f t="shared" si="78"/>
        <v>68.239610246747958</v>
      </c>
      <c r="T88" s="308">
        <f t="shared" si="79"/>
        <v>68.926854423454074</v>
      </c>
      <c r="U88" s="311">
        <f t="shared" si="80"/>
        <v>186.08720413713428</v>
      </c>
      <c r="V88" s="308">
        <f t="shared" si="81"/>
        <v>-67.41599239542569</v>
      </c>
      <c r="W88" s="308">
        <f t="shared" si="82"/>
        <v>201.58503922677193</v>
      </c>
      <c r="X88" s="312">
        <f t="shared" si="83"/>
        <v>212.55927190014381</v>
      </c>
      <c r="Y88" s="312">
        <f t="shared" si="84"/>
        <v>368.16345855089662</v>
      </c>
    </row>
    <row r="89" spans="5:25">
      <c r="E89" s="303">
        <f t="shared" si="65"/>
        <v>1.9461145864321381</v>
      </c>
      <c r="F89" s="304">
        <f t="shared" si="66"/>
        <v>106.99776</v>
      </c>
      <c r="G89" s="305">
        <f t="shared" si="70"/>
        <v>2.1377672209026123E-2</v>
      </c>
      <c r="H89" s="308">
        <f t="shared" si="71"/>
        <v>67.184639999999987</v>
      </c>
      <c r="I89" s="307">
        <f t="shared" si="67"/>
        <v>3142.7481600000001</v>
      </c>
      <c r="J89" s="308">
        <f t="shared" si="68"/>
        <v>80.242976516794855</v>
      </c>
      <c r="K89" s="307">
        <f t="shared" si="72"/>
        <v>243.81972167419445</v>
      </c>
      <c r="L89" s="331">
        <f t="shared" si="69"/>
        <v>14.124182174812113</v>
      </c>
      <c r="M89" s="307">
        <f t="shared" si="73"/>
        <v>125.43824190485886</v>
      </c>
      <c r="N89" s="307">
        <f t="shared" si="74"/>
        <v>126.23091956525219</v>
      </c>
      <c r="O89" s="309">
        <f t="shared" si="75"/>
        <v>0.6518026680296547</v>
      </c>
      <c r="P89" s="308">
        <f t="shared" si="75"/>
        <v>5.788723179480221</v>
      </c>
      <c r="Q89" s="310">
        <f t="shared" si="76"/>
        <v>5.8253036630464319</v>
      </c>
      <c r="R89" s="309">
        <f t="shared" si="77"/>
        <v>9.2204291644420096</v>
      </c>
      <c r="S89" s="308">
        <f t="shared" si="78"/>
        <v>81.887532296097561</v>
      </c>
      <c r="T89" s="308">
        <f t="shared" si="79"/>
        <v>82.405001422977435</v>
      </c>
      <c r="U89" s="311">
        <f t="shared" si="80"/>
        <v>176.72099158322339</v>
      </c>
      <c r="V89" s="308">
        <f t="shared" si="81"/>
        <v>-81.235729628067901</v>
      </c>
      <c r="W89" s="308">
        <f t="shared" si="82"/>
        <v>191.73014392714563</v>
      </c>
      <c r="X89" s="312">
        <f t="shared" si="83"/>
        <v>208.22990145156515</v>
      </c>
      <c r="Y89" s="312">
        <f t="shared" si="84"/>
        <v>360.66476896917112</v>
      </c>
    </row>
    <row r="90" spans="5:25">
      <c r="E90" s="303">
        <f t="shared" si="65"/>
        <v>1.6115282456995859</v>
      </c>
      <c r="F90" s="304">
        <f t="shared" si="66"/>
        <v>128.397312</v>
      </c>
      <c r="G90" s="305">
        <f t="shared" si="70"/>
        <v>2.1377672209026123E-2</v>
      </c>
      <c r="H90" s="308">
        <f t="shared" si="71"/>
        <v>80.621567999999982</v>
      </c>
      <c r="I90" s="307">
        <f t="shared" si="67"/>
        <v>3771.2977919999998</v>
      </c>
      <c r="J90" s="308">
        <f t="shared" si="68"/>
        <v>80.242976516794855</v>
      </c>
      <c r="K90" s="307">
        <f t="shared" si="72"/>
        <v>203.18310139516205</v>
      </c>
      <c r="L90" s="331">
        <f t="shared" si="69"/>
        <v>11.177732015520824</v>
      </c>
      <c r="M90" s="307">
        <f t="shared" si="73"/>
        <v>125.43824190485886</v>
      </c>
      <c r="N90" s="307">
        <f t="shared" si="74"/>
        <v>125.93527792160816</v>
      </c>
      <c r="O90" s="309">
        <f t="shared" si="75"/>
        <v>0.51582990505670678</v>
      </c>
      <c r="P90" s="308">
        <f t="shared" si="75"/>
        <v>5.788723179480221</v>
      </c>
      <c r="Q90" s="310">
        <f t="shared" si="76"/>
        <v>5.8116603943797687</v>
      </c>
      <c r="R90" s="309">
        <f t="shared" si="77"/>
        <v>8.7563429861747473</v>
      </c>
      <c r="S90" s="308">
        <f t="shared" si="78"/>
        <v>98.265038755317065</v>
      </c>
      <c r="T90" s="308">
        <f t="shared" si="79"/>
        <v>98.654403774365278</v>
      </c>
      <c r="U90" s="311">
        <f t="shared" si="80"/>
        <v>167.82620283307065</v>
      </c>
      <c r="V90" s="308">
        <f t="shared" si="81"/>
        <v>-97.749208850260359</v>
      </c>
      <c r="W90" s="308">
        <f t="shared" si="82"/>
        <v>182.37126899872561</v>
      </c>
      <c r="X90" s="312">
        <f t="shared" si="83"/>
        <v>206.91589495990237</v>
      </c>
      <c r="Y90" s="312">
        <f t="shared" si="84"/>
        <v>358.38884296413585</v>
      </c>
    </row>
    <row r="91" spans="5:25">
      <c r="E91" s="303">
        <f t="shared" si="65"/>
        <v>1.359941220366496</v>
      </c>
      <c r="F91" s="304">
        <f>IF(F90*1.2&gt;$F$92,$F$92,F90*1.2)</f>
        <v>154.07677440000001</v>
      </c>
      <c r="G91" s="305">
        <f t="shared" si="70"/>
        <v>2.1377672209026123E-2</v>
      </c>
      <c r="H91" s="308">
        <f t="shared" si="71"/>
        <v>96.74588159999999</v>
      </c>
      <c r="I91" s="307">
        <f t="shared" si="67"/>
        <v>4525.5573504000004</v>
      </c>
      <c r="J91" s="308">
        <f t="shared" si="68"/>
        <v>80.242976516794855</v>
      </c>
      <c r="K91" s="307">
        <f t="shared" si="72"/>
        <v>169.319251162635</v>
      </c>
      <c r="L91" s="331">
        <f>L90*F90/F91/1.053</f>
        <v>8.8459417660025519</v>
      </c>
      <c r="M91" s="307">
        <f t="shared" si="73"/>
        <v>125.43824190485886</v>
      </c>
      <c r="N91" s="307">
        <f t="shared" si="74"/>
        <v>125.74976428570113</v>
      </c>
      <c r="O91" s="309">
        <f t="shared" si="75"/>
        <v>0.40822246364095188</v>
      </c>
      <c r="P91" s="308">
        <f t="shared" si="75"/>
        <v>5.788723179480221</v>
      </c>
      <c r="Q91" s="310">
        <f t="shared" si="76"/>
        <v>5.8030993123048207</v>
      </c>
      <c r="R91" s="309">
        <f t="shared" si="77"/>
        <v>8.3156153714859915</v>
      </c>
      <c r="S91" s="308">
        <f t="shared" si="78"/>
        <v>117.91804650638051</v>
      </c>
      <c r="T91" s="308">
        <f t="shared" si="79"/>
        <v>118.21089269135652</v>
      </c>
      <c r="U91" s="311">
        <f t="shared" si="80"/>
        <v>159.37911000291612</v>
      </c>
      <c r="V91" s="308">
        <f t="shared" si="81"/>
        <v>-117.50982404273955</v>
      </c>
      <c r="W91" s="308">
        <f t="shared" si="82"/>
        <v>173.48344855388234</v>
      </c>
      <c r="X91" s="312">
        <f t="shared" si="83"/>
        <v>209.53535660766931</v>
      </c>
      <c r="Y91" s="312">
        <f t="shared" si="84"/>
        <v>362.92588362654629</v>
      </c>
    </row>
    <row r="92" spans="5:25" ht="15.75" thickBot="1">
      <c r="E92" s="316">
        <f>E47</f>
        <v>1.4395624212760949</v>
      </c>
      <c r="F92" s="317">
        <f>F49</f>
        <v>206</v>
      </c>
      <c r="G92" s="317">
        <f t="shared" ref="G92:Y92" si="85">G49</f>
        <v>2.5402777547329475E-2</v>
      </c>
      <c r="H92" s="317">
        <f>H49</f>
        <v>153.1</v>
      </c>
      <c r="I92" s="352">
        <f t="shared" si="67"/>
        <v>6026.9</v>
      </c>
      <c r="J92" s="317">
        <f t="shared" si="85"/>
        <v>80.164959683397527</v>
      </c>
      <c r="K92" s="317">
        <f t="shared" si="85"/>
        <v>127.01703625122586</v>
      </c>
      <c r="L92" s="317">
        <f t="shared" si="85"/>
        <v>8.726417475728157</v>
      </c>
      <c r="M92" s="317">
        <f t="shared" si="85"/>
        <v>136.95380530132437</v>
      </c>
      <c r="N92" s="317">
        <f t="shared" si="85"/>
        <v>137.23153846136736</v>
      </c>
      <c r="O92" s="317">
        <f t="shared" si="85"/>
        <v>0.40270665746322271</v>
      </c>
      <c r="P92" s="317">
        <f t="shared" si="85"/>
        <v>6.3201433249287984</v>
      </c>
      <c r="Q92" s="317">
        <f t="shared" si="85"/>
        <v>6.3329601530095889</v>
      </c>
      <c r="R92" s="317">
        <f t="shared" si="85"/>
        <v>10.967719777076294</v>
      </c>
      <c r="S92" s="317">
        <f t="shared" si="85"/>
        <v>172.12916562003633</v>
      </c>
      <c r="T92" s="317">
        <f t="shared" si="85"/>
        <v>172.47823205888437</v>
      </c>
      <c r="U92" s="353">
        <f t="shared" si="85"/>
        <v>200.19998964561137</v>
      </c>
      <c r="V92" s="317">
        <f t="shared" si="85"/>
        <v>-171.7264589625731</v>
      </c>
      <c r="W92" s="317">
        <f t="shared" si="85"/>
        <v>217.48785274761644</v>
      </c>
      <c r="X92" s="317">
        <f t="shared" si="85"/>
        <v>277.11178755259255</v>
      </c>
      <c r="Y92" s="317">
        <f t="shared" si="85"/>
        <v>479.97169541732308</v>
      </c>
    </row>
    <row r="93" spans="5:25">
      <c r="E93" s="303"/>
      <c r="F93" s="304"/>
      <c r="G93" s="305"/>
      <c r="H93" s="308"/>
      <c r="I93" s="307"/>
      <c r="J93" s="308"/>
      <c r="K93" s="307"/>
      <c r="L93" s="331"/>
      <c r="M93" s="307"/>
      <c r="N93" s="307"/>
      <c r="O93" s="309"/>
      <c r="P93" s="308"/>
      <c r="Q93" s="310"/>
      <c r="R93" s="309"/>
      <c r="S93" s="308"/>
      <c r="T93" s="310"/>
      <c r="U93" s="311"/>
      <c r="V93" s="308"/>
      <c r="W93" s="308"/>
      <c r="X93" s="312"/>
      <c r="Y93" s="312"/>
    </row>
    <row r="94" spans="5:25">
      <c r="E94" s="303"/>
      <c r="F94" s="304"/>
      <c r="G94" s="305"/>
      <c r="H94" s="308"/>
      <c r="I94" s="307"/>
      <c r="J94" s="308"/>
      <c r="K94" s="307"/>
      <c r="L94" s="331"/>
      <c r="M94" s="307"/>
      <c r="N94" s="307"/>
      <c r="O94" s="309"/>
      <c r="P94" s="308"/>
      <c r="Q94" s="310"/>
      <c r="R94" s="309"/>
      <c r="S94" s="308"/>
      <c r="T94" s="310"/>
      <c r="U94" s="311"/>
      <c r="V94" s="308"/>
      <c r="W94" s="308"/>
      <c r="X94" s="312"/>
      <c r="Y94" s="312"/>
    </row>
    <row r="95" spans="5:25">
      <c r="E95" s="303"/>
      <c r="F95" s="304"/>
      <c r="G95" s="305"/>
      <c r="H95" s="308"/>
      <c r="I95" s="307"/>
      <c r="J95" s="308"/>
      <c r="K95" s="307"/>
      <c r="L95" s="331"/>
      <c r="M95" s="307"/>
      <c r="N95" s="307"/>
      <c r="O95" s="309"/>
      <c r="P95" s="308"/>
      <c r="Q95" s="310"/>
      <c r="R95" s="309"/>
      <c r="S95" s="308"/>
      <c r="T95" s="310"/>
      <c r="U95" s="311"/>
      <c r="V95" s="308"/>
      <c r="W95" s="308"/>
      <c r="X95" s="312"/>
      <c r="Y95" s="312"/>
    </row>
    <row r="96" spans="5:25">
      <c r="E96" s="303"/>
      <c r="F96" s="304"/>
      <c r="G96" s="305"/>
      <c r="H96" s="308"/>
      <c r="I96" s="307"/>
      <c r="J96" s="308"/>
      <c r="K96" s="307"/>
      <c r="L96" s="331"/>
      <c r="M96" s="307"/>
      <c r="N96" s="307"/>
      <c r="O96" s="309"/>
      <c r="P96" s="308"/>
      <c r="Q96" s="310"/>
      <c r="R96" s="309"/>
      <c r="S96" s="308"/>
      <c r="T96" s="310"/>
      <c r="U96" s="311"/>
      <c r="V96" s="308"/>
      <c r="W96" s="308"/>
      <c r="X96" s="312"/>
      <c r="Y96" s="312"/>
    </row>
    <row r="97" spans="5:25">
      <c r="E97" s="303"/>
      <c r="F97" s="304"/>
      <c r="G97" s="305"/>
      <c r="H97" s="308"/>
      <c r="I97" s="307"/>
      <c r="J97" s="308"/>
      <c r="K97" s="307"/>
      <c r="L97" s="331"/>
      <c r="M97" s="307"/>
      <c r="N97" s="307"/>
      <c r="O97" s="309"/>
      <c r="P97" s="308"/>
      <c r="Q97" s="310"/>
      <c r="R97" s="309"/>
      <c r="S97" s="308"/>
      <c r="T97" s="310"/>
      <c r="U97" s="311"/>
      <c r="V97" s="308"/>
      <c r="W97" s="308"/>
      <c r="X97" s="312"/>
      <c r="Y97" s="312"/>
    </row>
    <row r="98" spans="5:25">
      <c r="E98" s="303"/>
      <c r="F98" s="304"/>
      <c r="G98" s="305"/>
      <c r="H98" s="308"/>
      <c r="I98" s="307"/>
      <c r="J98" s="308"/>
      <c r="K98" s="307"/>
      <c r="L98" s="331"/>
      <c r="M98" s="307"/>
      <c r="N98" s="307"/>
      <c r="O98" s="309"/>
      <c r="P98" s="308"/>
      <c r="Q98" s="310"/>
      <c r="R98" s="309"/>
      <c r="S98" s="308"/>
      <c r="T98" s="310"/>
      <c r="U98" s="311"/>
      <c r="V98" s="308"/>
      <c r="W98" s="308"/>
      <c r="X98" s="312"/>
      <c r="Y98" s="312"/>
    </row>
    <row r="100" spans="5:25" ht="15.75" thickBot="1">
      <c r="H100" s="291" t="s">
        <v>219</v>
      </c>
    </row>
    <row r="101" spans="5:25">
      <c r="E101" s="298"/>
      <c r="O101" s="299"/>
      <c r="P101" s="300"/>
      <c r="Q101" s="301"/>
      <c r="R101" s="299"/>
      <c r="S101" s="300"/>
      <c r="T101" s="301"/>
      <c r="U101" s="302"/>
    </row>
    <row r="102" spans="5:25">
      <c r="E102" s="303"/>
      <c r="F102" s="312"/>
      <c r="G102" s="305"/>
      <c r="H102" s="308"/>
      <c r="I102" s="307"/>
      <c r="J102" s="308"/>
      <c r="K102" s="307"/>
      <c r="L102" s="308"/>
      <c r="M102" s="307"/>
      <c r="N102" s="307"/>
      <c r="O102" s="309"/>
      <c r="Q102" s="310"/>
      <c r="R102" s="309"/>
      <c r="S102" s="308"/>
      <c r="T102" s="310"/>
      <c r="U102" s="311"/>
      <c r="V102" s="308"/>
      <c r="W102" s="308"/>
      <c r="X102" s="312"/>
      <c r="Y102" s="312"/>
    </row>
    <row r="103" spans="5:25">
      <c r="E103" s="303"/>
      <c r="F103" s="304"/>
      <c r="G103" s="305"/>
      <c r="H103" s="308"/>
      <c r="I103" s="307"/>
      <c r="J103" s="308"/>
      <c r="K103" s="307"/>
      <c r="L103" s="331"/>
      <c r="M103" s="307"/>
      <c r="N103" s="307"/>
      <c r="O103" s="309"/>
      <c r="P103" s="308"/>
      <c r="Q103" s="310"/>
      <c r="R103" s="309"/>
      <c r="S103" s="308"/>
      <c r="T103" s="310"/>
      <c r="U103" s="311"/>
      <c r="V103" s="308"/>
      <c r="W103" s="308"/>
      <c r="X103" s="312"/>
      <c r="Y103" s="312"/>
    </row>
    <row r="104" spans="5:25">
      <c r="E104" s="303"/>
      <c r="F104" s="304"/>
      <c r="G104" s="305"/>
      <c r="H104" s="308"/>
      <c r="I104" s="307"/>
      <c r="J104" s="308"/>
      <c r="K104" s="307"/>
      <c r="L104" s="331"/>
      <c r="M104" s="307"/>
      <c r="N104" s="307"/>
      <c r="O104" s="309"/>
      <c r="P104" s="308"/>
      <c r="Q104" s="310"/>
      <c r="R104" s="309"/>
      <c r="S104" s="308"/>
      <c r="T104" s="310"/>
      <c r="U104" s="311"/>
      <c r="V104" s="308"/>
      <c r="W104" s="308"/>
      <c r="X104" s="312"/>
      <c r="Y104" s="312"/>
    </row>
    <row r="105" spans="5:25">
      <c r="E105" s="303"/>
      <c r="F105" s="304"/>
      <c r="G105" s="305"/>
      <c r="H105" s="308"/>
      <c r="I105" s="307"/>
      <c r="J105" s="308"/>
      <c r="K105" s="307"/>
      <c r="L105" s="331"/>
      <c r="M105" s="307"/>
      <c r="N105" s="307"/>
      <c r="O105" s="309"/>
      <c r="P105" s="308"/>
      <c r="Q105" s="310"/>
      <c r="R105" s="309"/>
      <c r="S105" s="308"/>
      <c r="T105" s="310"/>
      <c r="U105" s="311"/>
      <c r="V105" s="308"/>
      <c r="W105" s="308"/>
      <c r="X105" s="312"/>
      <c r="Y105" s="312"/>
    </row>
    <row r="106" spans="5:25">
      <c r="E106" s="303"/>
      <c r="F106" s="304"/>
      <c r="G106" s="305"/>
      <c r="H106" s="308"/>
      <c r="I106" s="307"/>
      <c r="J106" s="308"/>
      <c r="K106" s="307"/>
      <c r="L106" s="331"/>
      <c r="M106" s="307"/>
      <c r="N106" s="307"/>
      <c r="O106" s="309"/>
      <c r="P106" s="308"/>
      <c r="Q106" s="310"/>
      <c r="R106" s="309"/>
      <c r="S106" s="308"/>
      <c r="T106" s="310"/>
      <c r="U106" s="311"/>
      <c r="V106" s="308"/>
      <c r="W106" s="308"/>
      <c r="X106" s="312"/>
      <c r="Y106" s="312"/>
    </row>
    <row r="107" spans="5:25">
      <c r="E107" s="303"/>
      <c r="F107" s="304"/>
      <c r="G107" s="305"/>
      <c r="H107" s="308"/>
      <c r="I107" s="307"/>
      <c r="J107" s="308"/>
      <c r="K107" s="307"/>
      <c r="L107" s="331"/>
      <c r="M107" s="307"/>
      <c r="N107" s="307"/>
      <c r="O107" s="309"/>
      <c r="P107" s="308"/>
      <c r="Q107" s="310"/>
      <c r="R107" s="309"/>
      <c r="S107" s="308"/>
      <c r="T107" s="310"/>
      <c r="U107" s="311"/>
      <c r="V107" s="308"/>
      <c r="W107" s="308"/>
      <c r="X107" s="312"/>
      <c r="Y107" s="312"/>
    </row>
    <row r="108" spans="5:25">
      <c r="E108" s="303"/>
      <c r="F108" s="304"/>
      <c r="G108" s="305"/>
      <c r="H108" s="308"/>
      <c r="I108" s="307"/>
      <c r="J108" s="308"/>
      <c r="K108" s="307"/>
      <c r="L108" s="331"/>
      <c r="M108" s="307"/>
      <c r="N108" s="307"/>
      <c r="O108" s="309"/>
      <c r="P108" s="308"/>
      <c r="Q108" s="310"/>
      <c r="R108" s="309"/>
      <c r="S108" s="308"/>
      <c r="T108" s="310"/>
      <c r="U108" s="311"/>
      <c r="V108" s="308"/>
      <c r="W108" s="308"/>
      <c r="X108" s="312"/>
      <c r="Y108" s="312"/>
    </row>
    <row r="109" spans="5:25">
      <c r="E109" s="303"/>
      <c r="F109" s="304"/>
      <c r="G109" s="305"/>
      <c r="H109" s="308"/>
      <c r="I109" s="307"/>
      <c r="J109" s="308"/>
      <c r="K109" s="307"/>
      <c r="L109" s="331"/>
      <c r="M109" s="307"/>
      <c r="N109" s="307"/>
      <c r="O109" s="309"/>
      <c r="P109" s="308"/>
      <c r="Q109" s="310"/>
      <c r="R109" s="309"/>
      <c r="S109" s="308"/>
      <c r="T109" s="310"/>
      <c r="U109" s="311"/>
      <c r="V109" s="308"/>
      <c r="W109" s="308"/>
      <c r="X109" s="312"/>
      <c r="Y109" s="312"/>
    </row>
    <row r="110" spans="5:25">
      <c r="E110" s="303"/>
      <c r="F110" s="304"/>
      <c r="G110" s="305"/>
      <c r="H110" s="308"/>
      <c r="I110" s="307"/>
      <c r="J110" s="308"/>
      <c r="K110" s="307"/>
      <c r="L110" s="331"/>
      <c r="M110" s="307"/>
      <c r="N110" s="307"/>
      <c r="O110" s="309"/>
      <c r="P110" s="308"/>
      <c r="Q110" s="310"/>
      <c r="R110" s="309"/>
      <c r="S110" s="308"/>
      <c r="T110" s="310"/>
      <c r="U110" s="311"/>
      <c r="V110" s="308"/>
      <c r="W110" s="308"/>
      <c r="X110" s="312"/>
      <c r="Y110" s="312"/>
    </row>
    <row r="111" spans="5:25">
      <c r="E111" s="303"/>
      <c r="F111" s="304"/>
      <c r="G111" s="305"/>
      <c r="H111" s="308"/>
      <c r="I111" s="307"/>
      <c r="J111" s="308"/>
      <c r="K111" s="307"/>
      <c r="L111" s="331"/>
      <c r="M111" s="307"/>
      <c r="N111" s="307"/>
      <c r="O111" s="309"/>
      <c r="P111" s="308"/>
      <c r="Q111" s="310"/>
      <c r="R111" s="309"/>
      <c r="S111" s="308"/>
      <c r="T111" s="310"/>
      <c r="U111" s="311"/>
      <c r="V111" s="308"/>
      <c r="W111" s="308"/>
      <c r="X111" s="312"/>
      <c r="Y111" s="312"/>
    </row>
    <row r="112" spans="5:25">
      <c r="E112" s="303"/>
      <c r="F112" s="304"/>
      <c r="G112" s="305"/>
      <c r="H112" s="308"/>
      <c r="I112" s="307"/>
      <c r="J112" s="308"/>
      <c r="K112" s="307"/>
      <c r="L112" s="331"/>
      <c r="M112" s="307"/>
      <c r="N112" s="307"/>
      <c r="O112" s="309"/>
      <c r="P112" s="308"/>
      <c r="Q112" s="310"/>
      <c r="R112" s="309"/>
      <c r="S112" s="308"/>
      <c r="T112" s="310"/>
      <c r="U112" s="311"/>
      <c r="V112" s="308"/>
      <c r="W112" s="308"/>
      <c r="X112" s="312"/>
      <c r="Y112" s="312"/>
    </row>
    <row r="113" spans="5:25">
      <c r="E113" s="303"/>
      <c r="F113" s="304"/>
      <c r="G113" s="305"/>
      <c r="H113" s="308"/>
      <c r="I113" s="307"/>
      <c r="J113" s="308"/>
      <c r="K113" s="307"/>
      <c r="L113" s="331"/>
      <c r="M113" s="307"/>
      <c r="N113" s="307"/>
      <c r="O113" s="309"/>
      <c r="P113" s="308"/>
      <c r="Q113" s="310"/>
      <c r="R113" s="309"/>
      <c r="S113" s="308"/>
      <c r="T113" s="310"/>
      <c r="U113" s="311"/>
      <c r="V113" s="308"/>
      <c r="W113" s="308"/>
      <c r="X113" s="312"/>
      <c r="Y113" s="312"/>
    </row>
    <row r="114" spans="5:25">
      <c r="E114" s="303"/>
      <c r="F114" s="304"/>
      <c r="G114" s="305"/>
      <c r="H114" s="308"/>
      <c r="I114" s="307"/>
      <c r="J114" s="308"/>
      <c r="K114" s="307"/>
      <c r="L114" s="331"/>
      <c r="M114" s="307"/>
      <c r="N114" s="307"/>
      <c r="O114" s="309"/>
      <c r="P114" s="308"/>
      <c r="Q114" s="310"/>
      <c r="R114" s="309"/>
      <c r="S114" s="308"/>
      <c r="T114" s="310"/>
      <c r="U114" s="311"/>
      <c r="V114" s="308"/>
      <c r="W114" s="308"/>
      <c r="X114" s="312"/>
      <c r="Y114" s="312"/>
    </row>
    <row r="115" spans="5:25">
      <c r="E115" s="303"/>
      <c r="F115" s="304"/>
      <c r="G115" s="305"/>
      <c r="H115" s="308"/>
      <c r="I115" s="307"/>
      <c r="J115" s="308"/>
      <c r="K115" s="307"/>
      <c r="L115" s="331"/>
      <c r="M115" s="307"/>
      <c r="N115" s="307"/>
      <c r="O115" s="309"/>
      <c r="P115" s="308"/>
      <c r="Q115" s="310"/>
      <c r="R115" s="309"/>
      <c r="S115" s="308"/>
      <c r="T115" s="310"/>
      <c r="U115" s="311"/>
      <c r="V115" s="308"/>
      <c r="W115" s="308"/>
      <c r="X115" s="312"/>
      <c r="Y115" s="312"/>
    </row>
    <row r="116" spans="5:25">
      <c r="E116" s="303"/>
      <c r="F116" s="304"/>
      <c r="G116" s="305"/>
      <c r="H116" s="308"/>
      <c r="I116" s="307"/>
      <c r="J116" s="308"/>
      <c r="K116" s="307"/>
      <c r="L116" s="331"/>
      <c r="M116" s="307"/>
      <c r="N116" s="307"/>
      <c r="O116" s="309"/>
      <c r="P116" s="308"/>
      <c r="Q116" s="310"/>
      <c r="R116" s="309"/>
      <c r="S116" s="308"/>
      <c r="T116" s="310"/>
      <c r="U116" s="311"/>
      <c r="V116" s="308"/>
      <c r="W116" s="308"/>
      <c r="X116" s="312"/>
      <c r="Y116" s="312"/>
    </row>
  </sheetData>
  <mergeCells count="1">
    <mergeCell ref="AD1:A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Fulls de càlcul</vt:lpstr>
      </vt:variant>
      <vt:variant>
        <vt:i4>6</vt:i4>
      </vt:variant>
      <vt:variant>
        <vt:lpstr>Gràfics</vt:lpstr>
      </vt:variant>
      <vt:variant>
        <vt:i4>1</vt:i4>
      </vt:variant>
      <vt:variant>
        <vt:lpstr>Intervals amb nom</vt:lpstr>
      </vt:variant>
      <vt:variant>
        <vt:i4>5</vt:i4>
      </vt:variant>
    </vt:vector>
  </HeadingPairs>
  <TitlesOfParts>
    <vt:vector size="12" baseType="lpstr">
      <vt:lpstr>RESUM</vt:lpstr>
      <vt:lpstr>driving mode datasheet</vt:lpstr>
      <vt:lpstr>driving mode parameters</vt:lpstr>
      <vt:lpstr>absorbing mode datasheet</vt:lpstr>
      <vt:lpstr>absorbing mode parameters</vt:lpstr>
      <vt:lpstr>limit 480V</vt:lpstr>
      <vt:lpstr>Limit</vt:lpstr>
      <vt:lpstr>'absorbing mode datasheet'!Àrea_d'impressió</vt:lpstr>
      <vt:lpstr>'absorbing mode parameters'!Àrea_d'impressió</vt:lpstr>
      <vt:lpstr>'driving mode datasheet'!Àrea_d'impressió</vt:lpstr>
      <vt:lpstr>'driving mode parameters'!Àrea_d'impressió</vt:lpstr>
      <vt:lpstr>RESUM!Àrea_d'impressió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Trullen</dc:creator>
  <cp:lastModifiedBy>Marc Basagaña</cp:lastModifiedBy>
  <cp:lastPrinted>2023-12-18T14:43:28Z</cp:lastPrinted>
  <dcterms:created xsi:type="dcterms:W3CDTF">2023-10-11T15:45:03Z</dcterms:created>
  <dcterms:modified xsi:type="dcterms:W3CDTF">2024-01-23T10:26:31Z</dcterms:modified>
</cp:coreProperties>
</file>