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embeddings/oleObject6.bin" ContentType="application/vnd.openxmlformats-officedocument.oleObject"/>
  <Override PartName="/xl/drawings/drawing4.xml" ContentType="application/vnd.openxmlformats-officedocument.drawing+xml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comments2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embeddings/oleObject11.bin" ContentType="application/vnd.openxmlformats-officedocument.oleObject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https://inverterdrive-my.sharepoint.com/personal/psymonds_inverterdrive_com/Documents/Documents/1. IDS DOCUMENTS WEB/"/>
    </mc:Choice>
  </mc:AlternateContent>
  <xr:revisionPtr revIDLastSave="0" documentId="8_{A1E1563D-FE21-4D0D-A506-521FD6EDFEA0}" xr6:coauthVersionLast="47" xr6:coauthVersionMax="47" xr10:uidLastSave="{00000000-0000-0000-0000-000000000000}"/>
  <bookViews>
    <workbookView xWindow="-28920" yWindow="-120" windowWidth="29040" windowHeight="15720" tabRatio="721" firstSheet="1" activeTab="1" xr2:uid="{00000000-000D-0000-FFFF-FFFF00000000}"/>
  </bookViews>
  <sheets>
    <sheet name="RESUM" sheetId="1" state="hidden" r:id="rId1"/>
    <sheet name="driving mode datasheet" sheetId="2" r:id="rId2"/>
    <sheet name="driving mode parameters" sheetId="3" r:id="rId3"/>
    <sheet name="absorbing mode datasheet" sheetId="4" r:id="rId4"/>
    <sheet name="absorbing mode parameters" sheetId="5" r:id="rId5"/>
    <sheet name="limit 480V" sheetId="6" state="hidden" r:id="rId6"/>
    <sheet name="Limit" sheetId="7" state="hidden" r:id="rId7"/>
  </sheets>
  <definedNames>
    <definedName name="_xlnm.Print_Area" localSheetId="3">'absorbing mode datasheet'!$A$1:$N$155</definedName>
    <definedName name="_xlnm.Print_Area" localSheetId="4">'absorbing mode parameters'!$A$1:$M$54</definedName>
    <definedName name="_xlnm.Print_Area" localSheetId="1">'driving mode datasheet'!$A$1:$N$156</definedName>
    <definedName name="_xlnm.Print_Area" localSheetId="2">'driving mode parameters'!$A$1:$M$54</definedName>
    <definedName name="_xlnm.Print_Area" localSheetId="0">RESUM!$A$1:$J$32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13" i="4" l="1"/>
  <c r="S114" i="4" s="1"/>
  <c r="S115" i="4" s="1"/>
  <c r="S116" i="4" s="1"/>
  <c r="S117" i="4" s="1"/>
  <c r="S118" i="4" s="1"/>
  <c r="S119" i="4" s="1"/>
  <c r="S120" i="4" s="1"/>
  <c r="S121" i="4" s="1"/>
  <c r="S122" i="4" s="1"/>
  <c r="S123" i="4" s="1"/>
  <c r="S124" i="4" s="1"/>
  <c r="S125" i="4" s="1"/>
  <c r="S126" i="4" s="1"/>
  <c r="S127" i="4" s="1"/>
  <c r="S128" i="4" s="1"/>
  <c r="S129" i="4" s="1"/>
  <c r="S130" i="4" s="1"/>
  <c r="S131" i="4" s="1"/>
  <c r="S112" i="4"/>
  <c r="P112" i="4"/>
  <c r="P113" i="4" s="1"/>
  <c r="P114" i="4" s="1"/>
  <c r="P115" i="4" s="1"/>
  <c r="P116" i="4" s="1"/>
  <c r="P117" i="4" s="1"/>
  <c r="P118" i="4" s="1"/>
  <c r="P119" i="4" s="1"/>
  <c r="P120" i="4" s="1"/>
  <c r="P121" i="4" s="1"/>
  <c r="P122" i="4" s="1"/>
  <c r="P123" i="4" s="1"/>
  <c r="P124" i="4" s="1"/>
  <c r="P125" i="4" s="1"/>
  <c r="P126" i="4" s="1"/>
  <c r="P127" i="4" s="1"/>
  <c r="P128" i="4" s="1"/>
  <c r="P129" i="4" s="1"/>
  <c r="P130" i="4" s="1"/>
  <c r="P131" i="4" s="1"/>
  <c r="V102" i="4"/>
  <c r="V103" i="4" s="1"/>
  <c r="V104" i="4" s="1"/>
  <c r="V105" i="4" s="1"/>
  <c r="V106" i="4" s="1"/>
  <c r="V107" i="4" s="1"/>
  <c r="V108" i="4" s="1"/>
  <c r="V109" i="4" s="1"/>
  <c r="V110" i="4" s="1"/>
  <c r="V111" i="4" s="1"/>
  <c r="V112" i="4" s="1"/>
  <c r="V113" i="4" s="1"/>
  <c r="V114" i="4" s="1"/>
  <c r="V115" i="4" s="1"/>
  <c r="V116" i="4" s="1"/>
  <c r="V117" i="4" s="1"/>
  <c r="V118" i="4" s="1"/>
  <c r="V119" i="4" s="1"/>
  <c r="V120" i="4" s="1"/>
  <c r="V121" i="4" s="1"/>
  <c r="V122" i="4" s="1"/>
  <c r="V123" i="4" s="1"/>
  <c r="V124" i="4" s="1"/>
  <c r="V125" i="4" s="1"/>
  <c r="V126" i="4" s="1"/>
  <c r="V127" i="4" s="1"/>
  <c r="V128" i="4" s="1"/>
  <c r="V129" i="4" s="1"/>
  <c r="V130" i="4" s="1"/>
  <c r="V131" i="4" s="1"/>
  <c r="X101" i="4"/>
  <c r="X102" i="4" s="1"/>
  <c r="W101" i="4"/>
  <c r="V101" i="4"/>
  <c r="U101" i="4"/>
  <c r="S101" i="4"/>
  <c r="S102" i="4" s="1"/>
  <c r="S103" i="4" s="1"/>
  <c r="S104" i="4" s="1"/>
  <c r="S105" i="4" s="1"/>
  <c r="S106" i="4" s="1"/>
  <c r="S107" i="4" s="1"/>
  <c r="S108" i="4" s="1"/>
  <c r="S109" i="4" s="1"/>
  <c r="S110" i="4" s="1"/>
  <c r="S111" i="4" s="1"/>
  <c r="R101" i="4"/>
  <c r="Q101" i="4" s="1"/>
  <c r="P101" i="4"/>
  <c r="P102" i="4" s="1"/>
  <c r="P103" i="4" s="1"/>
  <c r="P104" i="4" s="1"/>
  <c r="P105" i="4" s="1"/>
  <c r="P106" i="4" s="1"/>
  <c r="P107" i="4" s="1"/>
  <c r="P108" i="4" s="1"/>
  <c r="P109" i="4" s="1"/>
  <c r="P110" i="4" s="1"/>
  <c r="P111" i="4" s="1"/>
  <c r="W100" i="4"/>
  <c r="Q100" i="4" s="1"/>
  <c r="V100" i="4"/>
  <c r="U100" i="4"/>
  <c r="T100" i="4" s="1"/>
  <c r="S100" i="4"/>
  <c r="R100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X101" i="2"/>
  <c r="X102" i="2" s="1"/>
  <c r="W100" i="2"/>
  <c r="V100" i="2"/>
  <c r="S100" i="2"/>
  <c r="X32" i="4"/>
  <c r="AD27" i="4"/>
  <c r="R40" i="4"/>
  <c r="Q40" i="4"/>
  <c r="F40" i="4" s="1"/>
  <c r="E40" i="4" s="1"/>
  <c r="Y40" i="4" s="1"/>
  <c r="P40" i="4"/>
  <c r="O40" i="4"/>
  <c r="R39" i="4"/>
  <c r="Q39" i="4"/>
  <c r="F39" i="4" s="1"/>
  <c r="P39" i="4"/>
  <c r="O39" i="4"/>
  <c r="R38" i="4"/>
  <c r="Q38" i="4"/>
  <c r="F38" i="4" s="1"/>
  <c r="P38" i="4"/>
  <c r="O38" i="4"/>
  <c r="R37" i="4"/>
  <c r="Q37" i="4"/>
  <c r="S37" i="4" s="1"/>
  <c r="P37" i="4"/>
  <c r="O37" i="4"/>
  <c r="R36" i="4"/>
  <c r="Q36" i="4"/>
  <c r="S36" i="4" s="1"/>
  <c r="P36" i="4"/>
  <c r="O36" i="4"/>
  <c r="R35" i="4"/>
  <c r="Q35" i="4"/>
  <c r="S35" i="4" s="1"/>
  <c r="P35" i="4"/>
  <c r="O35" i="4"/>
  <c r="R34" i="4"/>
  <c r="Q34" i="4"/>
  <c r="F34" i="4" s="1"/>
  <c r="P34" i="4"/>
  <c r="O34" i="4"/>
  <c r="R33" i="4"/>
  <c r="Q33" i="4"/>
  <c r="F33" i="4" s="1"/>
  <c r="P33" i="4"/>
  <c r="O33" i="4"/>
  <c r="R32" i="4"/>
  <c r="Q32" i="4"/>
  <c r="F32" i="4" s="1"/>
  <c r="P32" i="4"/>
  <c r="O32" i="4"/>
  <c r="R31" i="4"/>
  <c r="Q31" i="4"/>
  <c r="F31" i="4" s="1"/>
  <c r="E31" i="4" s="1"/>
  <c r="P31" i="4"/>
  <c r="O31" i="4"/>
  <c r="R30" i="4"/>
  <c r="Q30" i="4"/>
  <c r="F30" i="4" s="1"/>
  <c r="P30" i="4"/>
  <c r="O30" i="4"/>
  <c r="R29" i="4"/>
  <c r="Q29" i="4"/>
  <c r="F29" i="4" s="1"/>
  <c r="P29" i="4"/>
  <c r="O29" i="4"/>
  <c r="R28" i="4"/>
  <c r="Q28" i="4"/>
  <c r="F28" i="4" s="1"/>
  <c r="P28" i="4"/>
  <c r="O28" i="4"/>
  <c r="R27" i="4"/>
  <c r="Q27" i="4"/>
  <c r="S27" i="4" s="1"/>
  <c r="P27" i="4"/>
  <c r="O27" i="4"/>
  <c r="C40" i="4"/>
  <c r="B40" i="4"/>
  <c r="A40" i="4"/>
  <c r="C39" i="4"/>
  <c r="B39" i="4"/>
  <c r="A39" i="4"/>
  <c r="C38" i="4"/>
  <c r="V38" i="4" s="1"/>
  <c r="B38" i="4"/>
  <c r="U38" i="4" s="1"/>
  <c r="A38" i="4"/>
  <c r="C37" i="4"/>
  <c r="V37" i="4" s="1"/>
  <c r="B37" i="4"/>
  <c r="A37" i="4"/>
  <c r="C36" i="4"/>
  <c r="V36" i="4" s="1"/>
  <c r="B36" i="4"/>
  <c r="U36" i="4" s="1"/>
  <c r="A36" i="4"/>
  <c r="C35" i="4"/>
  <c r="B35" i="4"/>
  <c r="A35" i="4"/>
  <c r="C34" i="4"/>
  <c r="B34" i="4"/>
  <c r="A34" i="4"/>
  <c r="C33" i="4"/>
  <c r="B33" i="4"/>
  <c r="A33" i="4"/>
  <c r="C32" i="4"/>
  <c r="B32" i="4"/>
  <c r="A32" i="4"/>
  <c r="C31" i="4"/>
  <c r="B31" i="4"/>
  <c r="A31" i="4"/>
  <c r="C30" i="4"/>
  <c r="B30" i="4"/>
  <c r="A30" i="4"/>
  <c r="C29" i="4"/>
  <c r="B29" i="4"/>
  <c r="A29" i="4"/>
  <c r="C28" i="4"/>
  <c r="B28" i="4"/>
  <c r="A28" i="4"/>
  <c r="C27" i="4"/>
  <c r="B27" i="4"/>
  <c r="A27" i="4"/>
  <c r="N40" i="4"/>
  <c r="N39" i="4"/>
  <c r="N38" i="4"/>
  <c r="N37" i="4"/>
  <c r="N36" i="4"/>
  <c r="N35" i="4"/>
  <c r="N34" i="4"/>
  <c r="N33" i="4"/>
  <c r="V33" i="4" s="1"/>
  <c r="N32" i="4"/>
  <c r="V32" i="4" s="1"/>
  <c r="N31" i="4"/>
  <c r="N30" i="4"/>
  <c r="N29" i="4"/>
  <c r="N28" i="4"/>
  <c r="N27" i="4"/>
  <c r="V27" i="4" s="1"/>
  <c r="S40" i="4"/>
  <c r="V40" i="4"/>
  <c r="S32" i="4"/>
  <c r="AD31" i="4"/>
  <c r="AD32" i="4" s="1"/>
  <c r="AD33" i="4" s="1"/>
  <c r="AD34" i="4" s="1"/>
  <c r="AD35" i="4" s="1"/>
  <c r="AD36" i="4" s="1"/>
  <c r="AD37" i="4" s="1"/>
  <c r="AD38" i="4" s="1"/>
  <c r="AD39" i="4" s="1"/>
  <c r="AD40" i="4" s="1"/>
  <c r="S31" i="4"/>
  <c r="V31" i="4"/>
  <c r="V28" i="4"/>
  <c r="U28" i="4"/>
  <c r="S28" i="4"/>
  <c r="AD28" i="4"/>
  <c r="AD29" i="4" s="1"/>
  <c r="AD30" i="4" s="1"/>
  <c r="O16" i="3"/>
  <c r="N16" i="3"/>
  <c r="M16" i="3"/>
  <c r="L16" i="3"/>
  <c r="L63" i="3" s="1"/>
  <c r="K16" i="3"/>
  <c r="J16" i="3"/>
  <c r="I16" i="3"/>
  <c r="I63" i="3" s="1"/>
  <c r="H16" i="3"/>
  <c r="H61" i="3" s="1"/>
  <c r="G16" i="3"/>
  <c r="G61" i="3" s="1"/>
  <c r="F16" i="3"/>
  <c r="F61" i="3" s="1"/>
  <c r="E16" i="3"/>
  <c r="E67" i="3" s="1"/>
  <c r="D16" i="3"/>
  <c r="C16" i="3"/>
  <c r="B16" i="3"/>
  <c r="B14" i="3"/>
  <c r="C14" i="3" s="1"/>
  <c r="D14" i="3" s="1"/>
  <c r="E14" i="3" s="1"/>
  <c r="F14" i="3" s="1"/>
  <c r="G14" i="3" s="1"/>
  <c r="H14" i="3" s="1"/>
  <c r="O12" i="3"/>
  <c r="N12" i="3"/>
  <c r="M12" i="3"/>
  <c r="M13" i="3" s="1"/>
  <c r="M18" i="3" s="1"/>
  <c r="L12" i="3"/>
  <c r="L13" i="3" s="1"/>
  <c r="L18" i="3" s="1"/>
  <c r="K12" i="3"/>
  <c r="K13" i="3" s="1"/>
  <c r="J12" i="3"/>
  <c r="J13" i="3" s="1"/>
  <c r="I12" i="3"/>
  <c r="H12" i="3"/>
  <c r="G12" i="3"/>
  <c r="F12" i="3"/>
  <c r="E12" i="3"/>
  <c r="D12" i="3"/>
  <c r="C12" i="3"/>
  <c r="B12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O32" i="3"/>
  <c r="N32" i="3"/>
  <c r="M32" i="3"/>
  <c r="L32" i="3"/>
  <c r="L64" i="3" s="1"/>
  <c r="K32" i="3"/>
  <c r="K64" i="3" s="1"/>
  <c r="J32" i="3"/>
  <c r="I32" i="3"/>
  <c r="H32" i="3"/>
  <c r="G32" i="3"/>
  <c r="F32" i="3"/>
  <c r="E32" i="3"/>
  <c r="D32" i="3"/>
  <c r="C32" i="3"/>
  <c r="B32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O28" i="3"/>
  <c r="O63" i="3" s="1"/>
  <c r="N28" i="3"/>
  <c r="N63" i="3" s="1"/>
  <c r="M28" i="3"/>
  <c r="M63" i="3" s="1"/>
  <c r="L28" i="3"/>
  <c r="K28" i="3"/>
  <c r="K63" i="3" s="1"/>
  <c r="J28" i="3"/>
  <c r="J63" i="3" s="1"/>
  <c r="I28" i="3"/>
  <c r="H28" i="3"/>
  <c r="G28" i="3"/>
  <c r="F28" i="3"/>
  <c r="E28" i="3"/>
  <c r="D28" i="3"/>
  <c r="C28" i="3"/>
  <c r="B28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O26" i="3"/>
  <c r="N26" i="3"/>
  <c r="M26" i="3"/>
  <c r="M67" i="3" s="1"/>
  <c r="L26" i="3"/>
  <c r="L67" i="3" s="1"/>
  <c r="K26" i="3"/>
  <c r="J26" i="3"/>
  <c r="I26" i="3"/>
  <c r="H26" i="3"/>
  <c r="G26" i="3"/>
  <c r="F26" i="3"/>
  <c r="E26" i="3"/>
  <c r="D26" i="3"/>
  <c r="D67" i="3" s="1"/>
  <c r="C26" i="3"/>
  <c r="B26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O23" i="3"/>
  <c r="N23" i="3"/>
  <c r="M23" i="3"/>
  <c r="L23" i="3"/>
  <c r="L65" i="3" s="1"/>
  <c r="K23" i="3"/>
  <c r="K65" i="3" s="1"/>
  <c r="J23" i="3"/>
  <c r="I23" i="3"/>
  <c r="I64" i="3" s="1"/>
  <c r="H23" i="3"/>
  <c r="H64" i="3" s="1"/>
  <c r="G23" i="3"/>
  <c r="F23" i="3"/>
  <c r="E23" i="3"/>
  <c r="D23" i="3"/>
  <c r="C23" i="3"/>
  <c r="C65" i="3" s="1"/>
  <c r="B23" i="3"/>
  <c r="B65" i="3" s="1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C64" i="3" s="1"/>
  <c r="B15" i="3"/>
  <c r="B64" i="3" s="1"/>
  <c r="O11" i="3"/>
  <c r="O77" i="3" s="1"/>
  <c r="N11" i="3"/>
  <c r="M11" i="3"/>
  <c r="L11" i="3"/>
  <c r="K11" i="3"/>
  <c r="J11" i="3"/>
  <c r="J77" i="3" s="1"/>
  <c r="I11" i="3"/>
  <c r="I77" i="3" s="1"/>
  <c r="H11" i="3"/>
  <c r="H13" i="3" s="1"/>
  <c r="G11" i="3"/>
  <c r="G13" i="3" s="1"/>
  <c r="F11" i="3"/>
  <c r="F13" i="3" s="1"/>
  <c r="E11" i="3"/>
  <c r="E13" i="3" s="1"/>
  <c r="D11" i="3"/>
  <c r="D77" i="3" s="1"/>
  <c r="C11" i="3"/>
  <c r="B11" i="3"/>
  <c r="O10" i="3"/>
  <c r="N10" i="3"/>
  <c r="M10" i="3"/>
  <c r="L10" i="3"/>
  <c r="K10" i="3"/>
  <c r="J10" i="3"/>
  <c r="I10" i="3"/>
  <c r="I61" i="3" s="1"/>
  <c r="H10" i="3"/>
  <c r="G10" i="3"/>
  <c r="F10" i="3"/>
  <c r="E10" i="3"/>
  <c r="D10" i="3"/>
  <c r="C10" i="3"/>
  <c r="B10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O5" i="3"/>
  <c r="H2" i="3"/>
  <c r="N77" i="3"/>
  <c r="B72" i="3"/>
  <c r="I67" i="3"/>
  <c r="H67" i="3"/>
  <c r="G67" i="3"/>
  <c r="O66" i="3"/>
  <c r="N66" i="3"/>
  <c r="M66" i="3"/>
  <c r="L66" i="3"/>
  <c r="M65" i="3"/>
  <c r="D61" i="3"/>
  <c r="J67" i="3"/>
  <c r="J65" i="3"/>
  <c r="O67" i="3"/>
  <c r="N67" i="3"/>
  <c r="N13" i="3"/>
  <c r="M77" i="3"/>
  <c r="L77" i="3"/>
  <c r="K77" i="3"/>
  <c r="C77" i="3"/>
  <c r="L61" i="3"/>
  <c r="K61" i="3"/>
  <c r="J61" i="3"/>
  <c r="X103" i="4" l="1"/>
  <c r="W102" i="4"/>
  <c r="U102" i="4"/>
  <c r="R102" i="4"/>
  <c r="T101" i="4"/>
  <c r="D31" i="4"/>
  <c r="Y31" i="4"/>
  <c r="U27" i="4"/>
  <c r="F35" i="4"/>
  <c r="E35" i="4" s="1"/>
  <c r="Y35" i="4" s="1"/>
  <c r="U32" i="4"/>
  <c r="H32" i="4" s="1"/>
  <c r="U33" i="4"/>
  <c r="F36" i="4"/>
  <c r="E36" i="4" s="1"/>
  <c r="E28" i="4"/>
  <c r="Y28" i="4" s="1"/>
  <c r="E32" i="4"/>
  <c r="Y32" i="4" s="1"/>
  <c r="Z32" i="4" s="1"/>
  <c r="J32" i="4" s="1"/>
  <c r="F27" i="4"/>
  <c r="E27" i="4" s="1"/>
  <c r="Y27" i="4" s="1"/>
  <c r="F37" i="4"/>
  <c r="E37" i="4" s="1"/>
  <c r="V30" i="4"/>
  <c r="U30" i="4" s="1"/>
  <c r="W32" i="4"/>
  <c r="I32" i="4"/>
  <c r="D32" i="4"/>
  <c r="D28" i="4"/>
  <c r="D40" i="4"/>
  <c r="U35" i="4"/>
  <c r="X31" i="4"/>
  <c r="X33" i="4"/>
  <c r="H33" i="4" s="1"/>
  <c r="E29" i="4"/>
  <c r="Y29" i="4" s="1"/>
  <c r="E38" i="4"/>
  <c r="Y38" i="4" s="1"/>
  <c r="V34" i="4"/>
  <c r="U34" i="4" s="1"/>
  <c r="S34" i="4"/>
  <c r="V29" i="4"/>
  <c r="U29" i="4" s="1"/>
  <c r="S33" i="4"/>
  <c r="E33" i="4" s="1"/>
  <c r="Y33" i="4" s="1"/>
  <c r="S29" i="4"/>
  <c r="S38" i="4"/>
  <c r="V39" i="4"/>
  <c r="U39" i="4"/>
  <c r="D35" i="4"/>
  <c r="U37" i="4"/>
  <c r="S39" i="4"/>
  <c r="E39" i="4" s="1"/>
  <c r="Y39" i="4" s="1"/>
  <c r="S30" i="4"/>
  <c r="E30" i="4" s="1"/>
  <c r="Y30" i="4" s="1"/>
  <c r="V35" i="4"/>
  <c r="U40" i="4"/>
  <c r="U31" i="4"/>
  <c r="O13" i="3"/>
  <c r="K67" i="3"/>
  <c r="F63" i="3"/>
  <c r="G63" i="3"/>
  <c r="H63" i="3"/>
  <c r="E77" i="3"/>
  <c r="F77" i="3"/>
  <c r="G77" i="3"/>
  <c r="H77" i="3"/>
  <c r="M69" i="3"/>
  <c r="E61" i="3"/>
  <c r="F67" i="3"/>
  <c r="J18" i="3"/>
  <c r="K18" i="3"/>
  <c r="I14" i="3"/>
  <c r="H68" i="3"/>
  <c r="B61" i="3"/>
  <c r="B67" i="3"/>
  <c r="B69" i="3" s="1"/>
  <c r="B63" i="3"/>
  <c r="B66" i="3"/>
  <c r="C67" i="3"/>
  <c r="C69" i="3" s="1"/>
  <c r="C63" i="3"/>
  <c r="C66" i="3"/>
  <c r="C61" i="3"/>
  <c r="H18" i="3"/>
  <c r="H17" i="3" s="1"/>
  <c r="H66" i="3"/>
  <c r="D65" i="3"/>
  <c r="D69" i="3" s="1"/>
  <c r="D64" i="3"/>
  <c r="B77" i="3"/>
  <c r="B13" i="3"/>
  <c r="J69" i="3"/>
  <c r="F18" i="3"/>
  <c r="F17" i="3" s="1"/>
  <c r="N64" i="3"/>
  <c r="N68" i="3" s="1"/>
  <c r="N65" i="3"/>
  <c r="N69" i="3" s="1"/>
  <c r="I66" i="3"/>
  <c r="I68" i="3" s="1"/>
  <c r="M64" i="3"/>
  <c r="M68" i="3"/>
  <c r="M70" i="3" s="1"/>
  <c r="L68" i="3"/>
  <c r="L70" i="3" s="1"/>
  <c r="G18" i="3"/>
  <c r="G17" i="3" s="1"/>
  <c r="O18" i="3"/>
  <c r="K69" i="3"/>
  <c r="E65" i="3"/>
  <c r="E69" i="3" s="1"/>
  <c r="E64" i="3"/>
  <c r="E18" i="3"/>
  <c r="E17" i="3" s="1"/>
  <c r="O64" i="3"/>
  <c r="O68" i="3" s="1"/>
  <c r="O65" i="3"/>
  <c r="O69" i="3" s="1"/>
  <c r="N18" i="3"/>
  <c r="L69" i="3"/>
  <c r="D66" i="3"/>
  <c r="C13" i="3"/>
  <c r="E66" i="3"/>
  <c r="D13" i="3"/>
  <c r="J64" i="3"/>
  <c r="F66" i="3"/>
  <c r="M61" i="3"/>
  <c r="G66" i="3"/>
  <c r="F64" i="3"/>
  <c r="G64" i="3"/>
  <c r="D63" i="3"/>
  <c r="J66" i="3"/>
  <c r="J68" i="3" s="1"/>
  <c r="J70" i="3" s="1"/>
  <c r="I13" i="3"/>
  <c r="E63" i="3"/>
  <c r="K66" i="3"/>
  <c r="K68" i="3" s="1"/>
  <c r="K70" i="3" s="1"/>
  <c r="F65" i="3"/>
  <c r="F69" i="3" s="1"/>
  <c r="G65" i="3"/>
  <c r="G69" i="3" s="1"/>
  <c r="H65" i="3"/>
  <c r="H69" i="3" s="1"/>
  <c r="I65" i="3"/>
  <c r="I69" i="3" s="1"/>
  <c r="Q102" i="4" l="1"/>
  <c r="R103" i="4"/>
  <c r="T102" i="4"/>
  <c r="U103" i="4"/>
  <c r="W103" i="4"/>
  <c r="X104" i="4"/>
  <c r="Y37" i="4"/>
  <c r="D37" i="4"/>
  <c r="H31" i="4"/>
  <c r="D36" i="4"/>
  <c r="Y36" i="4"/>
  <c r="D27" i="4"/>
  <c r="D33" i="4"/>
  <c r="D39" i="4"/>
  <c r="D30" i="4"/>
  <c r="W31" i="4"/>
  <c r="I31" i="4" s="1"/>
  <c r="AC32" i="4"/>
  <c r="X34" i="4"/>
  <c r="H34" i="4" s="1"/>
  <c r="Z33" i="4"/>
  <c r="J33" i="4" s="1"/>
  <c r="W33" i="4"/>
  <c r="I33" i="4" s="1"/>
  <c r="D38" i="4"/>
  <c r="Z31" i="4"/>
  <c r="AC31" i="4" s="1"/>
  <c r="X30" i="4"/>
  <c r="H30" i="4" s="1"/>
  <c r="J31" i="4"/>
  <c r="D29" i="4"/>
  <c r="E34" i="4"/>
  <c r="Y34" i="4" s="1"/>
  <c r="W34" i="4"/>
  <c r="I34" i="4" s="1"/>
  <c r="W30" i="4"/>
  <c r="I30" i="4" s="1"/>
  <c r="I70" i="3"/>
  <c r="O70" i="3"/>
  <c r="G68" i="3"/>
  <c r="G70" i="3" s="1"/>
  <c r="G74" i="3" s="1"/>
  <c r="N70" i="3"/>
  <c r="F68" i="3"/>
  <c r="F70" i="3" s="1"/>
  <c r="F74" i="3" s="1"/>
  <c r="F75" i="3"/>
  <c r="F76" i="3" s="1"/>
  <c r="F78" i="3" s="1"/>
  <c r="F73" i="3"/>
  <c r="F79" i="3" s="1"/>
  <c r="G75" i="3"/>
  <c r="G76" i="3" s="1"/>
  <c r="G78" i="3" s="1"/>
  <c r="G73" i="3"/>
  <c r="G79" i="3" s="1"/>
  <c r="B68" i="3"/>
  <c r="B70" i="3" s="1"/>
  <c r="B74" i="3" s="1"/>
  <c r="B75" i="3" s="1"/>
  <c r="B76" i="3" s="1"/>
  <c r="B78" i="3" s="1"/>
  <c r="D68" i="3"/>
  <c r="D70" i="3" s="1"/>
  <c r="D74" i="3" s="1"/>
  <c r="D75" i="3" s="1"/>
  <c r="D76" i="3" s="1"/>
  <c r="D78" i="3" s="1"/>
  <c r="D73" i="3"/>
  <c r="D79" i="3" s="1"/>
  <c r="B18" i="3"/>
  <c r="B17" i="3" s="1"/>
  <c r="H70" i="3"/>
  <c r="H74" i="3" s="1"/>
  <c r="C18" i="3"/>
  <c r="C17" i="3" s="1"/>
  <c r="J14" i="3"/>
  <c r="I74" i="3"/>
  <c r="E68" i="3"/>
  <c r="E70" i="3" s="1"/>
  <c r="E74" i="3" s="1"/>
  <c r="E75" i="3" s="1"/>
  <c r="E76" i="3" s="1"/>
  <c r="E78" i="3" s="1"/>
  <c r="I18" i="3"/>
  <c r="I17" i="3" s="1"/>
  <c r="D18" i="3"/>
  <c r="D17" i="3" s="1"/>
  <c r="C68" i="3"/>
  <c r="C70" i="3" s="1"/>
  <c r="C74" i="3" s="1"/>
  <c r="C75" i="3" s="1"/>
  <c r="C76" i="3" s="1"/>
  <c r="C78" i="3" s="1"/>
  <c r="W104" i="4" l="1"/>
  <c r="X105" i="4"/>
  <c r="R104" i="4"/>
  <c r="Q103" i="4"/>
  <c r="T103" i="4"/>
  <c r="U104" i="4"/>
  <c r="G32" i="4"/>
  <c r="AA32" i="4"/>
  <c r="AB32" i="4"/>
  <c r="D34" i="4"/>
  <c r="Z30" i="4"/>
  <c r="AC30" i="4" s="1"/>
  <c r="X29" i="4"/>
  <c r="AB31" i="4"/>
  <c r="AA31" i="4"/>
  <c r="G31" i="4"/>
  <c r="X35" i="4"/>
  <c r="Z34" i="4"/>
  <c r="J34" i="4" s="1"/>
  <c r="J30" i="4"/>
  <c r="AC33" i="4"/>
  <c r="C73" i="3"/>
  <c r="C79" i="3" s="1"/>
  <c r="E73" i="3"/>
  <c r="E79" i="3" s="1"/>
  <c r="E80" i="3" s="1"/>
  <c r="K14" i="3"/>
  <c r="J74" i="3"/>
  <c r="H75" i="3"/>
  <c r="H76" i="3" s="1"/>
  <c r="H78" i="3" s="1"/>
  <c r="H73" i="3"/>
  <c r="H79" i="3" s="1"/>
  <c r="J17" i="3"/>
  <c r="G80" i="3"/>
  <c r="I75" i="3"/>
  <c r="I76" i="3" s="1"/>
  <c r="I78" i="3" s="1"/>
  <c r="I73" i="3"/>
  <c r="I79" i="3" s="1"/>
  <c r="D80" i="3"/>
  <c r="B73" i="3"/>
  <c r="B79" i="3" s="1"/>
  <c r="B80" i="3" s="1"/>
  <c r="C80" i="3"/>
  <c r="F80" i="3"/>
  <c r="R105" i="4" l="1"/>
  <c r="Q104" i="4"/>
  <c r="X106" i="4"/>
  <c r="W105" i="4"/>
  <c r="U105" i="4"/>
  <c r="T104" i="4"/>
  <c r="K31" i="4"/>
  <c r="L31" i="4" s="1"/>
  <c r="G30" i="4"/>
  <c r="AB30" i="4"/>
  <c r="AA30" i="4"/>
  <c r="G33" i="4"/>
  <c r="AB33" i="4"/>
  <c r="AA33" i="4"/>
  <c r="Z29" i="4"/>
  <c r="AC29" i="4" s="1"/>
  <c r="X28" i="4"/>
  <c r="W29" i="4"/>
  <c r="I29" i="4" s="1"/>
  <c r="H29" i="4"/>
  <c r="J29" i="4" s="1"/>
  <c r="X36" i="4"/>
  <c r="Z35" i="4"/>
  <c r="AC35" i="4" s="1"/>
  <c r="H35" i="4"/>
  <c r="J35" i="4" s="1"/>
  <c r="W35" i="4"/>
  <c r="I35" i="4" s="1"/>
  <c r="AC34" i="4"/>
  <c r="K32" i="4"/>
  <c r="L32" i="4" s="1"/>
  <c r="AE32" i="4"/>
  <c r="I80" i="3"/>
  <c r="H80" i="3"/>
  <c r="B81" i="3"/>
  <c r="B82" i="3"/>
  <c r="E81" i="3"/>
  <c r="E82" i="3"/>
  <c r="C81" i="3"/>
  <c r="C82" i="3"/>
  <c r="D81" i="3"/>
  <c r="D82" i="3"/>
  <c r="G82" i="3"/>
  <c r="G81" i="3"/>
  <c r="J75" i="3"/>
  <c r="J76" i="3" s="1"/>
  <c r="J78" i="3" s="1"/>
  <c r="J80" i="3" s="1"/>
  <c r="J73" i="3"/>
  <c r="J79" i="3" s="1"/>
  <c r="L14" i="3"/>
  <c r="K74" i="3"/>
  <c r="K17" i="3"/>
  <c r="F82" i="3"/>
  <c r="F81" i="3"/>
  <c r="I82" i="3"/>
  <c r="I81" i="3"/>
  <c r="H82" i="3"/>
  <c r="H81" i="3"/>
  <c r="U106" i="4" l="1"/>
  <c r="T105" i="4"/>
  <c r="X107" i="4"/>
  <c r="W106" i="4"/>
  <c r="Q105" i="4"/>
  <c r="R106" i="4"/>
  <c r="K33" i="4"/>
  <c r="L33" i="4" s="1"/>
  <c r="K30" i="4"/>
  <c r="L30" i="4" s="1"/>
  <c r="X27" i="4"/>
  <c r="Z28" i="4"/>
  <c r="AC28" i="4" s="1"/>
  <c r="W28" i="4"/>
  <c r="I28" i="4" s="1"/>
  <c r="H28" i="4"/>
  <c r="J28" i="4" s="1"/>
  <c r="G34" i="4"/>
  <c r="AB34" i="4"/>
  <c r="K34" i="4" s="1"/>
  <c r="L34" i="4" s="1"/>
  <c r="AA34" i="4"/>
  <c r="AB35" i="4"/>
  <c r="K35" i="4" s="1"/>
  <c r="L35" i="4" s="1"/>
  <c r="AA35" i="4"/>
  <c r="G35" i="4"/>
  <c r="Z36" i="4"/>
  <c r="AC36" i="4" s="1"/>
  <c r="X37" i="4"/>
  <c r="H36" i="4"/>
  <c r="J36" i="4" s="1"/>
  <c r="W36" i="4"/>
  <c r="I36" i="4" s="1"/>
  <c r="G29" i="4"/>
  <c r="AB29" i="4"/>
  <c r="AA29" i="4"/>
  <c r="K75" i="3"/>
  <c r="K76" i="3" s="1"/>
  <c r="K78" i="3" s="1"/>
  <c r="K73" i="3"/>
  <c r="K79" i="3" s="1"/>
  <c r="L74" i="3"/>
  <c r="M14" i="3"/>
  <c r="L17" i="3"/>
  <c r="J82" i="3"/>
  <c r="J81" i="3"/>
  <c r="W107" i="4" l="1"/>
  <c r="X108" i="4"/>
  <c r="Q106" i="4"/>
  <c r="R112" i="4"/>
  <c r="R107" i="4"/>
  <c r="T106" i="4"/>
  <c r="U112" i="4"/>
  <c r="U107" i="4"/>
  <c r="K29" i="4"/>
  <c r="L29" i="4" s="1"/>
  <c r="X38" i="4"/>
  <c r="Z37" i="4"/>
  <c r="AC37" i="4" s="1"/>
  <c r="W37" i="4"/>
  <c r="I37" i="4" s="1"/>
  <c r="H37" i="4"/>
  <c r="J37" i="4" s="1"/>
  <c r="G28" i="4"/>
  <c r="AB28" i="4"/>
  <c r="AA28" i="4"/>
  <c r="AA36" i="4"/>
  <c r="G36" i="4"/>
  <c r="AB36" i="4"/>
  <c r="K36" i="4" s="1"/>
  <c r="L36" i="4" s="1"/>
  <c r="Z27" i="4"/>
  <c r="AC27" i="4" s="1"/>
  <c r="W27" i="4"/>
  <c r="I27" i="4" s="1"/>
  <c r="H27" i="4"/>
  <c r="J27" i="4" s="1"/>
  <c r="N14" i="3"/>
  <c r="M74" i="3"/>
  <c r="M17" i="3"/>
  <c r="L75" i="3"/>
  <c r="L76" i="3" s="1"/>
  <c r="L78" i="3" s="1"/>
  <c r="L73" i="3"/>
  <c r="L79" i="3" s="1"/>
  <c r="K80" i="3"/>
  <c r="R113" i="4" l="1"/>
  <c r="Q112" i="4"/>
  <c r="W108" i="4"/>
  <c r="X109" i="4"/>
  <c r="T107" i="4"/>
  <c r="U108" i="4"/>
  <c r="T112" i="4"/>
  <c r="U113" i="4"/>
  <c r="R108" i="4"/>
  <c r="Q107" i="4"/>
  <c r="G27" i="4"/>
  <c r="AB27" i="4"/>
  <c r="AA27" i="4"/>
  <c r="K28" i="4"/>
  <c r="L28" i="4" s="1"/>
  <c r="AB37" i="4"/>
  <c r="K37" i="4" s="1"/>
  <c r="L37" i="4" s="1"/>
  <c r="G37" i="4"/>
  <c r="AA37" i="4"/>
  <c r="X39" i="4"/>
  <c r="Z38" i="4"/>
  <c r="AC38" i="4" s="1"/>
  <c r="W38" i="4"/>
  <c r="I38" i="4" s="1"/>
  <c r="H38" i="4"/>
  <c r="J38" i="4" s="1"/>
  <c r="K82" i="3"/>
  <c r="K81" i="3"/>
  <c r="L80" i="3"/>
  <c r="M75" i="3"/>
  <c r="M76" i="3" s="1"/>
  <c r="M78" i="3" s="1"/>
  <c r="M73" i="3"/>
  <c r="M79" i="3" s="1"/>
  <c r="N74" i="3"/>
  <c r="O14" i="3"/>
  <c r="N17" i="3"/>
  <c r="U114" i="4" l="1"/>
  <c r="T113" i="4"/>
  <c r="U109" i="4"/>
  <c r="T108" i="4"/>
  <c r="X110" i="4"/>
  <c r="W109" i="4"/>
  <c r="R109" i="4"/>
  <c r="Q108" i="4"/>
  <c r="Q113" i="4"/>
  <c r="R114" i="4"/>
  <c r="G38" i="4"/>
  <c r="AB38" i="4"/>
  <c r="K38" i="4" s="1"/>
  <c r="L38" i="4" s="1"/>
  <c r="AA38" i="4"/>
  <c r="X40" i="4"/>
  <c r="Z39" i="4"/>
  <c r="AC39" i="4" s="1"/>
  <c r="H39" i="4"/>
  <c r="J39" i="4" s="1"/>
  <c r="W39" i="4"/>
  <c r="I39" i="4" s="1"/>
  <c r="K27" i="4"/>
  <c r="L27" i="4" s="1"/>
  <c r="O74" i="3"/>
  <c r="O17" i="3"/>
  <c r="N75" i="3"/>
  <c r="N76" i="3" s="1"/>
  <c r="N78" i="3" s="1"/>
  <c r="N73" i="3"/>
  <c r="N79" i="3" s="1"/>
  <c r="M80" i="3"/>
  <c r="L82" i="3"/>
  <c r="L81" i="3"/>
  <c r="U110" i="4" l="1"/>
  <c r="T109" i="4"/>
  <c r="Q109" i="4"/>
  <c r="R110" i="4"/>
  <c r="Q114" i="4"/>
  <c r="R115" i="4"/>
  <c r="X111" i="4"/>
  <c r="W110" i="4"/>
  <c r="U115" i="4"/>
  <c r="T114" i="4"/>
  <c r="Z40" i="4"/>
  <c r="AC40" i="4" s="1"/>
  <c r="W40" i="4"/>
  <c r="I40" i="4" s="1"/>
  <c r="H40" i="4"/>
  <c r="J40" i="4" s="1"/>
  <c r="G39" i="4"/>
  <c r="AB39" i="4"/>
  <c r="K39" i="4" s="1"/>
  <c r="L39" i="4" s="1"/>
  <c r="AA39" i="4"/>
  <c r="M82" i="3"/>
  <c r="M81" i="3"/>
  <c r="N80" i="3"/>
  <c r="O75" i="3"/>
  <c r="O76" i="3" s="1"/>
  <c r="O78" i="3" s="1"/>
  <c r="O73" i="3"/>
  <c r="O79" i="3" s="1"/>
  <c r="Q110" i="4" l="1"/>
  <c r="R111" i="4"/>
  <c r="Q111" i="4" s="1"/>
  <c r="R116" i="4"/>
  <c r="Q115" i="4"/>
  <c r="W111" i="4"/>
  <c r="X112" i="4"/>
  <c r="T115" i="4"/>
  <c r="U116" i="4"/>
  <c r="T110" i="4"/>
  <c r="U111" i="4"/>
  <c r="T111" i="4" s="1"/>
  <c r="AB40" i="4"/>
  <c r="K40" i="4" s="1"/>
  <c r="L40" i="4" s="1"/>
  <c r="AA40" i="4"/>
  <c r="G40" i="4"/>
  <c r="O80" i="3"/>
  <c r="O82" i="3"/>
  <c r="O81" i="3"/>
  <c r="N82" i="3"/>
  <c r="N81" i="3"/>
  <c r="U117" i="4" l="1"/>
  <c r="T116" i="4"/>
  <c r="R117" i="4"/>
  <c r="Q116" i="4"/>
  <c r="W112" i="4"/>
  <c r="X113" i="4"/>
  <c r="H2" i="5"/>
  <c r="M1" i="4"/>
  <c r="L13" i="4"/>
  <c r="R32" i="2"/>
  <c r="Q32" i="2"/>
  <c r="R118" i="4" l="1"/>
  <c r="Q117" i="4"/>
  <c r="W113" i="4"/>
  <c r="X114" i="4"/>
  <c r="U118" i="4"/>
  <c r="T117" i="4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C40" i="2"/>
  <c r="C39" i="2"/>
  <c r="C38" i="2"/>
  <c r="C37" i="2"/>
  <c r="C36" i="2"/>
  <c r="C35" i="2"/>
  <c r="C34" i="2"/>
  <c r="C33" i="2"/>
  <c r="C32" i="2"/>
  <c r="V32" i="2" s="1"/>
  <c r="C31" i="2"/>
  <c r="C30" i="2"/>
  <c r="C29" i="2"/>
  <c r="C28" i="2"/>
  <c r="C27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A40" i="2"/>
  <c r="F40" i="2"/>
  <c r="X115" i="4" l="1"/>
  <c r="W114" i="4"/>
  <c r="T118" i="4"/>
  <c r="U119" i="4"/>
  <c r="Q118" i="4"/>
  <c r="R119" i="4"/>
  <c r="U32" i="2"/>
  <c r="T119" i="4" l="1"/>
  <c r="U120" i="4"/>
  <c r="R120" i="4"/>
  <c r="Q119" i="4"/>
  <c r="X116" i="4"/>
  <c r="W115" i="4"/>
  <c r="M4" i="2"/>
  <c r="M1" i="2"/>
  <c r="R121" i="4" l="1"/>
  <c r="Q120" i="4"/>
  <c r="U121" i="4"/>
  <c r="T120" i="4"/>
  <c r="W116" i="4"/>
  <c r="X117" i="4"/>
  <c r="H2" i="1"/>
  <c r="D2" i="4" s="1"/>
  <c r="N8" i="1"/>
  <c r="O8" i="1"/>
  <c r="N9" i="1"/>
  <c r="A39" i="2" s="1"/>
  <c r="O9" i="1"/>
  <c r="U122" i="4" l="1"/>
  <c r="T121" i="4"/>
  <c r="X118" i="4"/>
  <c r="W117" i="4"/>
  <c r="Q121" i="4"/>
  <c r="R122" i="4"/>
  <c r="D2" i="2"/>
  <c r="X119" i="4" l="1"/>
  <c r="W118" i="4"/>
  <c r="Q122" i="4"/>
  <c r="R123" i="4"/>
  <c r="T122" i="4"/>
  <c r="U123" i="4"/>
  <c r="AD86" i="4"/>
  <c r="AC86" i="4"/>
  <c r="AD27" i="2"/>
  <c r="AD28" i="2" s="1"/>
  <c r="AD29" i="2" s="1"/>
  <c r="AD30" i="2" s="1"/>
  <c r="AD31" i="2" s="1"/>
  <c r="R40" i="2"/>
  <c r="R39" i="2"/>
  <c r="R38" i="2"/>
  <c r="R37" i="2"/>
  <c r="R36" i="2"/>
  <c r="R35" i="2"/>
  <c r="R34" i="2"/>
  <c r="R33" i="2"/>
  <c r="R31" i="2"/>
  <c r="R30" i="2"/>
  <c r="R29" i="2"/>
  <c r="R28" i="2"/>
  <c r="R27" i="2"/>
  <c r="Q40" i="2"/>
  <c r="Q39" i="2"/>
  <c r="F39" i="2" s="1"/>
  <c r="Q38" i="2"/>
  <c r="F38" i="2" s="1"/>
  <c r="Q37" i="2"/>
  <c r="F37" i="2" s="1"/>
  <c r="Q36" i="2"/>
  <c r="Q35" i="2"/>
  <c r="F35" i="2" s="1"/>
  <c r="Q34" i="2"/>
  <c r="F34" i="2" s="1"/>
  <c r="Q33" i="2"/>
  <c r="F33" i="2" s="1"/>
  <c r="F32" i="2"/>
  <c r="Q31" i="2"/>
  <c r="F31" i="2" s="1"/>
  <c r="Q30" i="2"/>
  <c r="F30" i="2" s="1"/>
  <c r="Q29" i="2"/>
  <c r="F29" i="2" s="1"/>
  <c r="Q28" i="2"/>
  <c r="F28" i="2" s="1"/>
  <c r="Q27" i="2"/>
  <c r="F27" i="2" s="1"/>
  <c r="R124" i="4" l="1"/>
  <c r="Q123" i="4"/>
  <c r="T123" i="4"/>
  <c r="U124" i="4"/>
  <c r="W119" i="4"/>
  <c r="X120" i="4"/>
  <c r="AD32" i="2"/>
  <c r="AD33" i="2" s="1"/>
  <c r="AD34" i="2" s="1"/>
  <c r="AD35" i="2" s="1"/>
  <c r="AD36" i="2" s="1"/>
  <c r="AD37" i="2" s="1"/>
  <c r="AD38" i="2" s="1"/>
  <c r="AD39" i="2" s="1"/>
  <c r="AD40" i="2" s="1"/>
  <c r="F36" i="2"/>
  <c r="T124" i="4" l="1"/>
  <c r="U125" i="4"/>
  <c r="W120" i="4"/>
  <c r="X121" i="4"/>
  <c r="R125" i="4"/>
  <c r="Q124" i="4"/>
  <c r="H71" i="6"/>
  <c r="O33" i="5"/>
  <c r="N33" i="5"/>
  <c r="M33" i="5"/>
  <c r="L33" i="5"/>
  <c r="O16" i="5"/>
  <c r="N16" i="5"/>
  <c r="O15" i="5"/>
  <c r="N15" i="5"/>
  <c r="O12" i="5"/>
  <c r="N12" i="5"/>
  <c r="O11" i="5"/>
  <c r="N11" i="5"/>
  <c r="O5" i="5"/>
  <c r="N8" i="5"/>
  <c r="O8" i="5"/>
  <c r="N9" i="5"/>
  <c r="O9" i="5"/>
  <c r="N10" i="5"/>
  <c r="O10" i="5"/>
  <c r="N13" i="5"/>
  <c r="N14" i="5"/>
  <c r="O14" i="5"/>
  <c r="N19" i="5"/>
  <c r="O19" i="5"/>
  <c r="N21" i="5"/>
  <c r="O21" i="5"/>
  <c r="N22" i="5"/>
  <c r="O22" i="5"/>
  <c r="N23" i="5"/>
  <c r="O23" i="5"/>
  <c r="N24" i="5"/>
  <c r="O24" i="5"/>
  <c r="N25" i="5"/>
  <c r="O25" i="5"/>
  <c r="N26" i="5"/>
  <c r="O26" i="5"/>
  <c r="N27" i="5"/>
  <c r="O27" i="5"/>
  <c r="N28" i="5"/>
  <c r="O28" i="5"/>
  <c r="N29" i="5"/>
  <c r="O29" i="5"/>
  <c r="N30" i="5"/>
  <c r="O30" i="5"/>
  <c r="N31" i="5"/>
  <c r="O31" i="5"/>
  <c r="N32" i="5"/>
  <c r="O32" i="5"/>
  <c r="X122" i="4" l="1"/>
  <c r="W121" i="4"/>
  <c r="U126" i="4"/>
  <c r="T125" i="4"/>
  <c r="R126" i="4"/>
  <c r="Q125" i="4"/>
  <c r="V39" i="2"/>
  <c r="V40" i="2"/>
  <c r="V38" i="2"/>
  <c r="O13" i="5"/>
  <c r="O18" i="5" s="1"/>
  <c r="O17" i="5" s="1"/>
  <c r="N18" i="5"/>
  <c r="N17" i="5" s="1"/>
  <c r="H151" i="4"/>
  <c r="F151" i="4"/>
  <c r="D151" i="4"/>
  <c r="H151" i="2"/>
  <c r="F151" i="2"/>
  <c r="D151" i="2"/>
  <c r="P86" i="2"/>
  <c r="Q86" i="2"/>
  <c r="R86" i="2"/>
  <c r="S86" i="2"/>
  <c r="U86" i="2"/>
  <c r="V86" i="2"/>
  <c r="W86" i="2"/>
  <c r="X86" i="2"/>
  <c r="Y86" i="2"/>
  <c r="Z86" i="2"/>
  <c r="AA86" i="2"/>
  <c r="AB86" i="2"/>
  <c r="AC86" i="2"/>
  <c r="O86" i="2"/>
  <c r="I9" i="2"/>
  <c r="I9" i="4" s="1"/>
  <c r="L21" i="6"/>
  <c r="L22" i="6" s="1"/>
  <c r="L74" i="6"/>
  <c r="L75" i="6" s="1"/>
  <c r="J7" i="4"/>
  <c r="J8" i="4"/>
  <c r="C8" i="1"/>
  <c r="C8" i="5" s="1"/>
  <c r="B20" i="5"/>
  <c r="F9" i="2"/>
  <c r="C10" i="1"/>
  <c r="D10" i="1" s="1"/>
  <c r="F92" i="6"/>
  <c r="F71" i="6"/>
  <c r="F50" i="6"/>
  <c r="F51" i="6" s="1"/>
  <c r="F52" i="6" s="1"/>
  <c r="F53" i="6" s="1"/>
  <c r="F54" i="6" s="1"/>
  <c r="H27" i="6"/>
  <c r="H28" i="6" s="1"/>
  <c r="H29" i="6" s="1"/>
  <c r="H30" i="6" s="1"/>
  <c r="H31" i="6" s="1"/>
  <c r="H32" i="6" s="1"/>
  <c r="H33" i="6" s="1"/>
  <c r="H34" i="6" s="1"/>
  <c r="H35" i="6" s="1"/>
  <c r="H36" i="6" s="1"/>
  <c r="H37" i="6" s="1"/>
  <c r="H38" i="6" s="1"/>
  <c r="H39" i="6" s="1"/>
  <c r="H40" i="6" s="1"/>
  <c r="H41" i="6" s="1"/>
  <c r="H42" i="6" s="1"/>
  <c r="H43" i="6" s="1"/>
  <c r="H44" i="6" s="1"/>
  <c r="H45" i="6" s="1"/>
  <c r="H46" i="6" s="1"/>
  <c r="H47" i="6" s="1"/>
  <c r="H48" i="6" s="1"/>
  <c r="H19" i="6"/>
  <c r="H20" i="6" s="1"/>
  <c r="H21" i="6" s="1"/>
  <c r="H22" i="6" s="1"/>
  <c r="H23" i="6" s="1"/>
  <c r="B13" i="6"/>
  <c r="K33" i="5"/>
  <c r="J33" i="5"/>
  <c r="I33" i="5"/>
  <c r="H33" i="5"/>
  <c r="G33" i="5"/>
  <c r="F33" i="5"/>
  <c r="E33" i="5"/>
  <c r="D33" i="5"/>
  <c r="C33" i="5"/>
  <c r="B33" i="5"/>
  <c r="M14" i="5"/>
  <c r="L14" i="5"/>
  <c r="K14" i="5"/>
  <c r="J14" i="5"/>
  <c r="I14" i="5"/>
  <c r="H14" i="5"/>
  <c r="G14" i="5"/>
  <c r="F14" i="5"/>
  <c r="E14" i="5"/>
  <c r="D14" i="5"/>
  <c r="C14" i="5"/>
  <c r="B14" i="5"/>
  <c r="B72" i="5" s="1"/>
  <c r="A10" i="5"/>
  <c r="K150" i="4"/>
  <c r="G145" i="4"/>
  <c r="D148" i="4" s="1"/>
  <c r="M140" i="4"/>
  <c r="A136" i="4"/>
  <c r="L84" i="4"/>
  <c r="H84" i="4"/>
  <c r="F84" i="4"/>
  <c r="M81" i="4"/>
  <c r="G83" i="4" s="1"/>
  <c r="F81" i="4"/>
  <c r="F83" i="4" s="1"/>
  <c r="M77" i="4"/>
  <c r="M25" i="4"/>
  <c r="M24" i="4"/>
  <c r="N23" i="4"/>
  <c r="G23" i="4"/>
  <c r="F23" i="4"/>
  <c r="M19" i="4"/>
  <c r="L19" i="4"/>
  <c r="K19" i="4"/>
  <c r="J19" i="4"/>
  <c r="I19" i="4"/>
  <c r="H19" i="4"/>
  <c r="C19" i="4"/>
  <c r="K17" i="4"/>
  <c r="F17" i="4"/>
  <c r="N15" i="4"/>
  <c r="K15" i="4"/>
  <c r="I15" i="4"/>
  <c r="K149" i="4" s="1"/>
  <c r="F15" i="4"/>
  <c r="H150" i="4"/>
  <c r="G13" i="4"/>
  <c r="J12" i="4"/>
  <c r="N11" i="4"/>
  <c r="J11" i="4"/>
  <c r="K146" i="4" s="1"/>
  <c r="G11" i="4"/>
  <c r="K147" i="4" s="1"/>
  <c r="M9" i="4"/>
  <c r="C8" i="4"/>
  <c r="K148" i="4" s="1"/>
  <c r="M7" i="4"/>
  <c r="H7" i="4"/>
  <c r="M3" i="4"/>
  <c r="H32" i="5"/>
  <c r="D27" i="5"/>
  <c r="K150" i="2"/>
  <c r="H150" i="2"/>
  <c r="K149" i="2"/>
  <c r="K148" i="2"/>
  <c r="K147" i="2"/>
  <c r="K146" i="2"/>
  <c r="G145" i="2"/>
  <c r="D148" i="2" s="1"/>
  <c r="A136" i="2"/>
  <c r="L84" i="2"/>
  <c r="H84" i="2"/>
  <c r="F84" i="2"/>
  <c r="M81" i="2"/>
  <c r="F81" i="2"/>
  <c r="E148" i="2" s="1"/>
  <c r="M25" i="2"/>
  <c r="M24" i="2"/>
  <c r="N23" i="2"/>
  <c r="G23" i="2"/>
  <c r="F23" i="2"/>
  <c r="M4" i="4"/>
  <c r="D74" i="4" s="1"/>
  <c r="J74" i="4" s="1"/>
  <c r="N74" i="4" s="1"/>
  <c r="M2" i="4"/>
  <c r="K32" i="5"/>
  <c r="J32" i="5"/>
  <c r="I32" i="5"/>
  <c r="F32" i="5"/>
  <c r="E32" i="5"/>
  <c r="D32" i="5"/>
  <c r="C32" i="5"/>
  <c r="B32" i="5"/>
  <c r="M31" i="5"/>
  <c r="L31" i="5"/>
  <c r="K31" i="5"/>
  <c r="J31" i="5"/>
  <c r="I31" i="5"/>
  <c r="H31" i="5"/>
  <c r="F31" i="5"/>
  <c r="E31" i="5"/>
  <c r="D31" i="5"/>
  <c r="C31" i="5"/>
  <c r="B31" i="5"/>
  <c r="M30" i="5"/>
  <c r="L30" i="5"/>
  <c r="K30" i="5"/>
  <c r="J30" i="5"/>
  <c r="I30" i="5"/>
  <c r="H30" i="5"/>
  <c r="F30" i="5"/>
  <c r="E30" i="5"/>
  <c r="D30" i="5"/>
  <c r="C30" i="5"/>
  <c r="B30" i="5"/>
  <c r="M29" i="5"/>
  <c r="L29" i="5"/>
  <c r="K29" i="5"/>
  <c r="J29" i="5"/>
  <c r="I29" i="5"/>
  <c r="H29" i="5"/>
  <c r="F29" i="5"/>
  <c r="E29" i="5"/>
  <c r="D29" i="5"/>
  <c r="C29" i="5"/>
  <c r="B29" i="5"/>
  <c r="M28" i="5"/>
  <c r="L28" i="5"/>
  <c r="K28" i="5"/>
  <c r="J28" i="5"/>
  <c r="I28" i="5"/>
  <c r="H28" i="5"/>
  <c r="F28" i="5"/>
  <c r="E28" i="5"/>
  <c r="D28" i="5"/>
  <c r="C28" i="5"/>
  <c r="B28" i="5"/>
  <c r="M27" i="5"/>
  <c r="L27" i="5"/>
  <c r="K27" i="5"/>
  <c r="J27" i="5"/>
  <c r="I27" i="5"/>
  <c r="H27" i="5"/>
  <c r="F27" i="5"/>
  <c r="E27" i="5"/>
  <c r="C27" i="5"/>
  <c r="B27" i="5"/>
  <c r="M26" i="5"/>
  <c r="L26" i="5"/>
  <c r="K26" i="5"/>
  <c r="J26" i="5"/>
  <c r="I26" i="5"/>
  <c r="H26" i="5"/>
  <c r="F26" i="5"/>
  <c r="E26" i="5"/>
  <c r="D26" i="5"/>
  <c r="C26" i="5"/>
  <c r="B26" i="5"/>
  <c r="M25" i="5"/>
  <c r="L25" i="5"/>
  <c r="K25" i="5"/>
  <c r="J25" i="5"/>
  <c r="I25" i="5"/>
  <c r="H25" i="5"/>
  <c r="F25" i="5"/>
  <c r="E25" i="5"/>
  <c r="D25" i="5"/>
  <c r="C25" i="5"/>
  <c r="B25" i="5"/>
  <c r="M24" i="5"/>
  <c r="L24" i="5"/>
  <c r="K24" i="5"/>
  <c r="J24" i="5"/>
  <c r="I24" i="5"/>
  <c r="H24" i="5"/>
  <c r="F24" i="5"/>
  <c r="E24" i="5"/>
  <c r="D24" i="5"/>
  <c r="C24" i="5"/>
  <c r="B24" i="5"/>
  <c r="M23" i="5"/>
  <c r="K23" i="5"/>
  <c r="J23" i="5"/>
  <c r="H23" i="5"/>
  <c r="F23" i="5"/>
  <c r="E23" i="5"/>
  <c r="D23" i="5"/>
  <c r="B23" i="5"/>
  <c r="M22" i="5"/>
  <c r="L22" i="5"/>
  <c r="K22" i="5"/>
  <c r="J22" i="5"/>
  <c r="I22" i="5"/>
  <c r="H22" i="5"/>
  <c r="F22" i="5"/>
  <c r="E22" i="5"/>
  <c r="D22" i="5"/>
  <c r="C22" i="5"/>
  <c r="B22" i="5"/>
  <c r="M21" i="5"/>
  <c r="B21" i="5"/>
  <c r="C19" i="5"/>
  <c r="B19" i="5"/>
  <c r="B11" i="6"/>
  <c r="B10" i="6"/>
  <c r="B9" i="6"/>
  <c r="B7" i="6"/>
  <c r="B6" i="6"/>
  <c r="B5" i="6"/>
  <c r="B10" i="5"/>
  <c r="M9" i="1"/>
  <c r="A38" i="2" s="1"/>
  <c r="L9" i="1"/>
  <c r="K9" i="1"/>
  <c r="J9" i="1"/>
  <c r="I9" i="1"/>
  <c r="H9" i="1"/>
  <c r="G9" i="1"/>
  <c r="F9" i="1"/>
  <c r="E9" i="1"/>
  <c r="D9" i="1"/>
  <c r="C9" i="1"/>
  <c r="B9" i="1"/>
  <c r="M8" i="1"/>
  <c r="M8" i="5" s="1"/>
  <c r="B8" i="1"/>
  <c r="B8" i="5" s="1"/>
  <c r="U12" i="3"/>
  <c r="C10" i="5" s="1"/>
  <c r="C21" i="5"/>
  <c r="F83" i="2"/>
  <c r="G83" i="2"/>
  <c r="H61" i="6"/>
  <c r="H62" i="6" s="1"/>
  <c r="H63" i="6" s="1"/>
  <c r="H92" i="6"/>
  <c r="H50" i="6"/>
  <c r="H51" i="6" s="1"/>
  <c r="H52" i="6" s="1"/>
  <c r="H53" i="6" s="1"/>
  <c r="H54" i="6" s="1"/>
  <c r="L27" i="6"/>
  <c r="D74" i="2"/>
  <c r="J74" i="2" s="1"/>
  <c r="N74" i="2" s="1"/>
  <c r="L32" i="5"/>
  <c r="M78" i="2"/>
  <c r="M78" i="4" s="1"/>
  <c r="B23" i="6"/>
  <c r="G30" i="5"/>
  <c r="B18" i="6"/>
  <c r="G25" i="5"/>
  <c r="B22" i="6"/>
  <c r="G29" i="5"/>
  <c r="M32" i="5"/>
  <c r="B15" i="6"/>
  <c r="G22" i="5"/>
  <c r="G26" i="5"/>
  <c r="B4" i="6"/>
  <c r="B8" i="6"/>
  <c r="B17" i="6"/>
  <c r="G24" i="5"/>
  <c r="B21" i="6"/>
  <c r="G28" i="5"/>
  <c r="B25" i="6"/>
  <c r="L3" i="6" s="1"/>
  <c r="G32" i="5"/>
  <c r="V27" i="2"/>
  <c r="B16" i="6"/>
  <c r="O72" i="6" s="1"/>
  <c r="G23" i="5"/>
  <c r="B20" i="6"/>
  <c r="G27" i="5"/>
  <c r="B24" i="6"/>
  <c r="G31" i="5"/>
  <c r="D76" i="2"/>
  <c r="E148" i="4"/>
  <c r="F72" i="6"/>
  <c r="F73" i="6" s="1"/>
  <c r="D8" i="1"/>
  <c r="D8" i="5" s="1"/>
  <c r="D21" i="5"/>
  <c r="H72" i="6"/>
  <c r="H73" i="6" s="1"/>
  <c r="H74" i="6" s="1"/>
  <c r="H75" i="6" s="1"/>
  <c r="D19" i="5"/>
  <c r="E8" i="1"/>
  <c r="E8" i="5" s="1"/>
  <c r="E21" i="5"/>
  <c r="E19" i="5"/>
  <c r="F8" i="1"/>
  <c r="F8" i="5" s="1"/>
  <c r="F21" i="5"/>
  <c r="F19" i="5"/>
  <c r="G8" i="1"/>
  <c r="B1" i="6" s="1"/>
  <c r="B14" i="6"/>
  <c r="G21" i="5"/>
  <c r="B12" i="6"/>
  <c r="G19" i="5"/>
  <c r="H21" i="5"/>
  <c r="H8" i="1"/>
  <c r="H8" i="5" s="1"/>
  <c r="H19" i="5"/>
  <c r="I21" i="5"/>
  <c r="I8" i="1"/>
  <c r="I8" i="5" s="1"/>
  <c r="I19" i="5"/>
  <c r="J21" i="5"/>
  <c r="J8" i="1"/>
  <c r="J8" i="5" s="1"/>
  <c r="J19" i="5"/>
  <c r="K21" i="5"/>
  <c r="K8" i="1"/>
  <c r="K8" i="5" s="1"/>
  <c r="K19" i="5"/>
  <c r="L21" i="5"/>
  <c r="L8" i="1"/>
  <c r="L8" i="5" s="1"/>
  <c r="L19" i="5"/>
  <c r="M19" i="5"/>
  <c r="U127" i="4" l="1"/>
  <c r="T126" i="4"/>
  <c r="Q126" i="4"/>
  <c r="R127" i="4"/>
  <c r="X123" i="4"/>
  <c r="W122" i="4"/>
  <c r="F9" i="4"/>
  <c r="S32" i="2"/>
  <c r="E32" i="2" s="1"/>
  <c r="D32" i="2" s="1"/>
  <c r="S37" i="2"/>
  <c r="E37" i="2" s="1"/>
  <c r="D37" i="2" s="1"/>
  <c r="S35" i="2"/>
  <c r="E35" i="2" s="1"/>
  <c r="D35" i="2" s="1"/>
  <c r="S38" i="2"/>
  <c r="E38" i="2" s="1"/>
  <c r="D38" i="2" s="1"/>
  <c r="S33" i="2"/>
  <c r="E33" i="2" s="1"/>
  <c r="D33" i="2" s="1"/>
  <c r="S28" i="2"/>
  <c r="E28" i="2" s="1"/>
  <c r="D28" i="2" s="1"/>
  <c r="S31" i="2"/>
  <c r="E31" i="2" s="1"/>
  <c r="D31" i="2" s="1"/>
  <c r="S34" i="2"/>
  <c r="E34" i="2" s="1"/>
  <c r="D34" i="2" s="1"/>
  <c r="S36" i="2"/>
  <c r="E36" i="2" s="1"/>
  <c r="D36" i="2" s="1"/>
  <c r="S29" i="2"/>
  <c r="E29" i="2" s="1"/>
  <c r="D29" i="2" s="1"/>
  <c r="S40" i="2"/>
  <c r="E40" i="2" s="1"/>
  <c r="D40" i="2" s="1"/>
  <c r="S30" i="2"/>
  <c r="E30" i="2" s="1"/>
  <c r="D30" i="2" s="1"/>
  <c r="S39" i="2"/>
  <c r="E39" i="2" s="1"/>
  <c r="D39" i="2" s="1"/>
  <c r="S27" i="2"/>
  <c r="E27" i="2" s="1"/>
  <c r="D27" i="2" s="1"/>
  <c r="A28" i="2"/>
  <c r="B2" i="6"/>
  <c r="A32" i="2"/>
  <c r="K9" i="5"/>
  <c r="A36" i="2"/>
  <c r="G9" i="5"/>
  <c r="D9" i="5"/>
  <c r="A29" i="2"/>
  <c r="H9" i="5"/>
  <c r="A33" i="2"/>
  <c r="L9" i="5"/>
  <c r="A37" i="2"/>
  <c r="E9" i="5"/>
  <c r="A30" i="2"/>
  <c r="I9" i="5"/>
  <c r="A34" i="2"/>
  <c r="B9" i="5"/>
  <c r="A27" i="2"/>
  <c r="F9" i="5"/>
  <c r="A31" i="2"/>
  <c r="J9" i="5"/>
  <c r="A35" i="2"/>
  <c r="O74" i="6"/>
  <c r="V30" i="2"/>
  <c r="F11" i="5"/>
  <c r="F77" i="5" s="1"/>
  <c r="B11" i="5"/>
  <c r="B77" i="5" s="1"/>
  <c r="O21" i="6"/>
  <c r="V35" i="2"/>
  <c r="U27" i="2"/>
  <c r="V28" i="2"/>
  <c r="C11" i="5"/>
  <c r="C77" i="5" s="1"/>
  <c r="V33" i="2"/>
  <c r="U40" i="2"/>
  <c r="U39" i="2"/>
  <c r="O18" i="6"/>
  <c r="V31" i="2"/>
  <c r="V36" i="2"/>
  <c r="V37" i="2"/>
  <c r="L23" i="5"/>
  <c r="L65" i="5" s="1"/>
  <c r="G11" i="5"/>
  <c r="G77" i="5" s="1"/>
  <c r="U38" i="2"/>
  <c r="L11" i="5"/>
  <c r="J11" i="5"/>
  <c r="J77" i="5" s="1"/>
  <c r="O27" i="6"/>
  <c r="V29" i="2"/>
  <c r="U29" i="2" s="1"/>
  <c r="B26" i="6"/>
  <c r="B19" i="6" s="1"/>
  <c r="R73" i="6" s="1"/>
  <c r="C23" i="5"/>
  <c r="C65" i="5" s="1"/>
  <c r="V34" i="2"/>
  <c r="K15" i="5"/>
  <c r="K64" i="5" s="1"/>
  <c r="L15" i="5"/>
  <c r="M15" i="5"/>
  <c r="M11" i="5"/>
  <c r="N83" i="4"/>
  <c r="I145" i="4"/>
  <c r="U73" i="6"/>
  <c r="F74" i="6"/>
  <c r="H65" i="5"/>
  <c r="G8" i="5"/>
  <c r="M9" i="5"/>
  <c r="U72" i="6"/>
  <c r="N83" i="2"/>
  <c r="D76" i="4"/>
  <c r="D139" i="4" s="1"/>
  <c r="O75" i="6"/>
  <c r="C9" i="5"/>
  <c r="V12" i="3"/>
  <c r="E10" i="1"/>
  <c r="H55" i="6"/>
  <c r="H56" i="6" s="1"/>
  <c r="H64" i="6"/>
  <c r="H65" i="6" s="1"/>
  <c r="I23" i="5"/>
  <c r="I65" i="5" s="1"/>
  <c r="O19" i="6"/>
  <c r="M141" i="2"/>
  <c r="M141" i="4" s="1"/>
  <c r="O73" i="6"/>
  <c r="O20" i="6"/>
  <c r="I145" i="2"/>
  <c r="D139" i="2"/>
  <c r="C145" i="2"/>
  <c r="L4" i="6"/>
  <c r="O3" i="6"/>
  <c r="B65" i="5"/>
  <c r="D65" i="5"/>
  <c r="F65" i="5"/>
  <c r="J65" i="5"/>
  <c r="D10" i="5"/>
  <c r="G65" i="5"/>
  <c r="E65" i="5"/>
  <c r="K65" i="5"/>
  <c r="E11" i="5"/>
  <c r="E77" i="5" s="1"/>
  <c r="L23" i="6"/>
  <c r="O22" i="6"/>
  <c r="F55" i="6"/>
  <c r="R128" i="4" l="1"/>
  <c r="Q127" i="4"/>
  <c r="W123" i="4"/>
  <c r="X124" i="4"/>
  <c r="T127" i="4"/>
  <c r="U128" i="4"/>
  <c r="H15" i="5"/>
  <c r="H64" i="5" s="1"/>
  <c r="I15" i="5"/>
  <c r="O37" i="2"/>
  <c r="U33" i="2"/>
  <c r="U36" i="2"/>
  <c r="U30" i="2"/>
  <c r="K11" i="5"/>
  <c r="K77" i="5" s="1"/>
  <c r="U37" i="2"/>
  <c r="U28" i="2"/>
  <c r="C15" i="5"/>
  <c r="C64" i="5" s="1"/>
  <c r="J15" i="5"/>
  <c r="J64" i="5" s="1"/>
  <c r="R74" i="6"/>
  <c r="R72" i="6"/>
  <c r="F15" i="5"/>
  <c r="F64" i="5" s="1"/>
  <c r="I11" i="5"/>
  <c r="I77" i="5" s="1"/>
  <c r="G15" i="5"/>
  <c r="G64" i="5" s="1"/>
  <c r="D15" i="5"/>
  <c r="D64" i="5" s="1"/>
  <c r="R87" i="2"/>
  <c r="AD87" i="2"/>
  <c r="V87" i="2"/>
  <c r="Q87" i="2"/>
  <c r="S87" i="2"/>
  <c r="I64" i="5"/>
  <c r="H11" i="5"/>
  <c r="H77" i="5" s="1"/>
  <c r="E15" i="5"/>
  <c r="E64" i="5" s="1"/>
  <c r="U35" i="2"/>
  <c r="L64" i="5"/>
  <c r="D11" i="5"/>
  <c r="D77" i="5" s="1"/>
  <c r="U31" i="2"/>
  <c r="U34" i="2"/>
  <c r="B15" i="5"/>
  <c r="B64" i="5" s="1"/>
  <c r="C145" i="4"/>
  <c r="F75" i="6"/>
  <c r="U74" i="6"/>
  <c r="E87" i="2"/>
  <c r="P101" i="2" s="1"/>
  <c r="P102" i="2" s="1"/>
  <c r="C87" i="2"/>
  <c r="D149" i="2" s="1"/>
  <c r="N87" i="2"/>
  <c r="F87" i="2"/>
  <c r="H148" i="2" s="1"/>
  <c r="B87" i="2"/>
  <c r="E10" i="5"/>
  <c r="F10" i="1"/>
  <c r="H66" i="6"/>
  <c r="O23" i="6"/>
  <c r="D87" i="2"/>
  <c r="Q100" i="2" s="1"/>
  <c r="O4" i="6"/>
  <c r="L5" i="6"/>
  <c r="F56" i="6"/>
  <c r="R101" i="2" l="1"/>
  <c r="R100" i="2"/>
  <c r="W124" i="4"/>
  <c r="X125" i="4"/>
  <c r="T128" i="4"/>
  <c r="U129" i="4"/>
  <c r="R129" i="4"/>
  <c r="Q128" i="4"/>
  <c r="O32" i="2"/>
  <c r="U87" i="2"/>
  <c r="U87" i="4"/>
  <c r="AD87" i="4"/>
  <c r="V87" i="4"/>
  <c r="C87" i="4"/>
  <c r="D149" i="4" s="1"/>
  <c r="S87" i="4"/>
  <c r="N87" i="4"/>
  <c r="B87" i="4"/>
  <c r="R87" i="4"/>
  <c r="Q87" i="4"/>
  <c r="P31" i="2"/>
  <c r="O31" i="2"/>
  <c r="D112" i="2"/>
  <c r="R75" i="6"/>
  <c r="U75" i="6"/>
  <c r="D147" i="2"/>
  <c r="D150" i="2"/>
  <c r="H147" i="2"/>
  <c r="G10" i="1"/>
  <c r="L6" i="6"/>
  <c r="L84" i="6"/>
  <c r="O5" i="6"/>
  <c r="H67" i="6"/>
  <c r="R102" i="2" l="1"/>
  <c r="Q101" i="2"/>
  <c r="X126" i="4"/>
  <c r="W125" i="4"/>
  <c r="U130" i="4"/>
  <c r="T129" i="4"/>
  <c r="Q129" i="4"/>
  <c r="R130" i="4"/>
  <c r="P32" i="2"/>
  <c r="O35" i="2"/>
  <c r="O28" i="2"/>
  <c r="O87" i="2" s="1"/>
  <c r="J149" i="2" s="1"/>
  <c r="O34" i="2"/>
  <c r="O36" i="2"/>
  <c r="O33" i="2"/>
  <c r="O38" i="2"/>
  <c r="O30" i="2"/>
  <c r="O27" i="2"/>
  <c r="O29" i="2"/>
  <c r="C16" i="5"/>
  <c r="C67" i="5" s="1"/>
  <c r="C69" i="5" s="1"/>
  <c r="H147" i="4"/>
  <c r="H10" i="1"/>
  <c r="B3" i="6"/>
  <c r="F67" i="6" s="1"/>
  <c r="F10" i="5"/>
  <c r="O84" i="6"/>
  <c r="H68" i="6"/>
  <c r="O6" i="6"/>
  <c r="L7" i="6"/>
  <c r="Q102" i="2" l="1"/>
  <c r="T130" i="4"/>
  <c r="U131" i="4"/>
  <c r="T131" i="4" s="1"/>
  <c r="Q130" i="4"/>
  <c r="R131" i="4"/>
  <c r="Q131" i="4" s="1"/>
  <c r="X127" i="4"/>
  <c r="W126" i="4"/>
  <c r="O87" i="4"/>
  <c r="A88" i="4" s="1"/>
  <c r="P29" i="2"/>
  <c r="P30" i="2"/>
  <c r="P28" i="2"/>
  <c r="P87" i="2" s="1"/>
  <c r="H149" i="2" s="1"/>
  <c r="P34" i="2"/>
  <c r="P33" i="2"/>
  <c r="P27" i="2"/>
  <c r="C66" i="5"/>
  <c r="C63" i="5"/>
  <c r="A88" i="2"/>
  <c r="G10" i="5"/>
  <c r="I71" i="6"/>
  <c r="B27" i="6"/>
  <c r="F61" i="6"/>
  <c r="I50" i="6"/>
  <c r="G50" i="6" s="1"/>
  <c r="I92" i="6"/>
  <c r="I49" i="6"/>
  <c r="G49" i="6" s="1"/>
  <c r="G92" i="6" s="1"/>
  <c r="F62" i="6"/>
  <c r="F60" i="6"/>
  <c r="I51" i="6"/>
  <c r="G51" i="6" s="1"/>
  <c r="I53" i="6"/>
  <c r="G53" i="6" s="1"/>
  <c r="I52" i="6"/>
  <c r="G52" i="6" s="1"/>
  <c r="I54" i="6"/>
  <c r="G54" i="6" s="1"/>
  <c r="F63" i="6"/>
  <c r="F65" i="6"/>
  <c r="I55" i="6"/>
  <c r="G55" i="6" s="1"/>
  <c r="F64" i="6"/>
  <c r="F66" i="6"/>
  <c r="I56" i="6"/>
  <c r="G56" i="6" s="1"/>
  <c r="I10" i="1"/>
  <c r="L8" i="6"/>
  <c r="O7" i="6"/>
  <c r="F68" i="6"/>
  <c r="H69" i="6"/>
  <c r="F16" i="5"/>
  <c r="W127" i="4" l="1"/>
  <c r="X128" i="4"/>
  <c r="J149" i="4"/>
  <c r="P87" i="4"/>
  <c r="H149" i="4" s="1"/>
  <c r="C68" i="5"/>
  <c r="C70" i="5" s="1"/>
  <c r="C74" i="5" s="1"/>
  <c r="C75" i="5" s="1"/>
  <c r="P35" i="2"/>
  <c r="H10" i="5"/>
  <c r="J10" i="1"/>
  <c r="D16" i="5"/>
  <c r="B16" i="5"/>
  <c r="H5" i="6"/>
  <c r="F3" i="6"/>
  <c r="B28" i="6"/>
  <c r="I70" i="6"/>
  <c r="I69" i="6" s="1"/>
  <c r="I68" i="6" s="1"/>
  <c r="G71" i="6"/>
  <c r="I72" i="6"/>
  <c r="C12" i="5"/>
  <c r="G16" i="5"/>
  <c r="F12" i="5"/>
  <c r="F13" i="5" s="1"/>
  <c r="F87" i="4"/>
  <c r="H148" i="4" s="1"/>
  <c r="O8" i="6"/>
  <c r="L9" i="6"/>
  <c r="F67" i="5"/>
  <c r="F69" i="5" s="1"/>
  <c r="F66" i="5"/>
  <c r="F63" i="5"/>
  <c r="F69" i="6"/>
  <c r="H70" i="6"/>
  <c r="E16" i="5"/>
  <c r="W128" i="4" l="1"/>
  <c r="X129" i="4"/>
  <c r="G69" i="6"/>
  <c r="C73" i="5"/>
  <c r="C79" i="5" s="1"/>
  <c r="P36" i="2"/>
  <c r="F61" i="5"/>
  <c r="U3" i="6"/>
  <c r="F21" i="6"/>
  <c r="F19" i="6"/>
  <c r="F23" i="6"/>
  <c r="I3" i="6"/>
  <c r="F5" i="6"/>
  <c r="R3" i="6"/>
  <c r="F22" i="6"/>
  <c r="F20" i="6"/>
  <c r="F18" i="6"/>
  <c r="H4" i="6"/>
  <c r="H6" i="6"/>
  <c r="H84" i="6"/>
  <c r="B67" i="5"/>
  <c r="B69" i="5" s="1"/>
  <c r="B66" i="5"/>
  <c r="B63" i="5"/>
  <c r="I73" i="6"/>
  <c r="G72" i="6"/>
  <c r="K10" i="1"/>
  <c r="D12" i="5"/>
  <c r="I67" i="6"/>
  <c r="G68" i="6"/>
  <c r="D67" i="5"/>
  <c r="D69" i="5" s="1"/>
  <c r="D63" i="5"/>
  <c r="D66" i="5"/>
  <c r="C13" i="5"/>
  <c r="C18" i="5" s="1"/>
  <c r="C61" i="5"/>
  <c r="C76" i="5" s="1"/>
  <c r="C78" i="5" s="1"/>
  <c r="I10" i="5"/>
  <c r="E63" i="5"/>
  <c r="E67" i="5"/>
  <c r="E69" i="5" s="1"/>
  <c r="E66" i="5"/>
  <c r="E12" i="5"/>
  <c r="E13" i="5" s="1"/>
  <c r="F70" i="6"/>
  <c r="G70" i="6"/>
  <c r="F68" i="5"/>
  <c r="F70" i="5" s="1"/>
  <c r="F74" i="5" s="1"/>
  <c r="F75" i="5" s="1"/>
  <c r="L10" i="6"/>
  <c r="O9" i="6"/>
  <c r="AA5" i="6" s="1"/>
  <c r="AA6" i="6" s="1"/>
  <c r="H16" i="5"/>
  <c r="G12" i="5"/>
  <c r="G13" i="5" s="1"/>
  <c r="F18" i="5"/>
  <c r="G67" i="5"/>
  <c r="G69" i="5" s="1"/>
  <c r="G66" i="5"/>
  <c r="G63" i="5"/>
  <c r="W129" i="4" l="1"/>
  <c r="X130" i="4"/>
  <c r="E87" i="4"/>
  <c r="C80" i="5"/>
  <c r="C82" i="5" s="1"/>
  <c r="P37" i="2"/>
  <c r="F76" i="5"/>
  <c r="F78" i="5" s="1"/>
  <c r="C17" i="5"/>
  <c r="G61" i="5"/>
  <c r="F17" i="5"/>
  <c r="B68" i="5"/>
  <c r="B70" i="5" s="1"/>
  <c r="B74" i="5" s="1"/>
  <c r="J10" i="5"/>
  <c r="F84" i="6"/>
  <c r="R5" i="6"/>
  <c r="U5" i="6"/>
  <c r="I4" i="6"/>
  <c r="I5" i="6" s="1"/>
  <c r="G3" i="6"/>
  <c r="M3" i="6" s="1"/>
  <c r="D68" i="5"/>
  <c r="D70" i="5" s="1"/>
  <c r="D74" i="5" s="1"/>
  <c r="B12" i="5"/>
  <c r="H7" i="6"/>
  <c r="F27" i="6"/>
  <c r="R18" i="6"/>
  <c r="U18" i="6"/>
  <c r="R23" i="6"/>
  <c r="U23" i="6"/>
  <c r="M72" i="6"/>
  <c r="R20" i="6"/>
  <c r="U20" i="6"/>
  <c r="R19" i="6"/>
  <c r="U19" i="6"/>
  <c r="L10" i="1"/>
  <c r="G73" i="6"/>
  <c r="I74" i="6"/>
  <c r="F6" i="6"/>
  <c r="R21" i="6"/>
  <c r="U21" i="6"/>
  <c r="I66" i="6"/>
  <c r="G67" i="6"/>
  <c r="R22" i="6"/>
  <c r="U22" i="6"/>
  <c r="D13" i="5"/>
  <c r="D61" i="5"/>
  <c r="F4" i="6"/>
  <c r="I16" i="5"/>
  <c r="G68" i="5"/>
  <c r="G70" i="5" s="1"/>
  <c r="G74" i="5" s="1"/>
  <c r="G75" i="5" s="1"/>
  <c r="H66" i="5"/>
  <c r="H67" i="5"/>
  <c r="H69" i="5" s="1"/>
  <c r="H63" i="5"/>
  <c r="E61" i="5"/>
  <c r="G18" i="5"/>
  <c r="H12" i="5"/>
  <c r="H13" i="5" s="1"/>
  <c r="L11" i="6"/>
  <c r="O10" i="6"/>
  <c r="E18" i="5"/>
  <c r="E68" i="5"/>
  <c r="E70" i="5" s="1"/>
  <c r="E74" i="5" s="1"/>
  <c r="E75" i="5" s="1"/>
  <c r="F73" i="5"/>
  <c r="F79" i="5" s="1"/>
  <c r="X131" i="4" l="1"/>
  <c r="W131" i="4" s="1"/>
  <c r="W130" i="4"/>
  <c r="C81" i="5"/>
  <c r="D87" i="4"/>
  <c r="P38" i="2"/>
  <c r="F80" i="5"/>
  <c r="F81" i="5" s="1"/>
  <c r="G76" i="5"/>
  <c r="G78" i="5" s="1"/>
  <c r="I27" i="6"/>
  <c r="R27" i="6"/>
  <c r="U27" i="6"/>
  <c r="F28" i="6"/>
  <c r="L28" i="6" s="1"/>
  <c r="H8" i="6"/>
  <c r="F7" i="6"/>
  <c r="P3" i="6"/>
  <c r="W3" i="6" s="1"/>
  <c r="N3" i="6"/>
  <c r="S3" i="6"/>
  <c r="V3" i="6" s="1"/>
  <c r="R6" i="6"/>
  <c r="U6" i="6"/>
  <c r="I75" i="6"/>
  <c r="G75" i="6" s="1"/>
  <c r="G74" i="6"/>
  <c r="B13" i="5"/>
  <c r="B61" i="5"/>
  <c r="E76" i="5"/>
  <c r="E78" i="5" s="1"/>
  <c r="U4" i="6"/>
  <c r="R4" i="6"/>
  <c r="M73" i="6"/>
  <c r="J73" i="6" s="1"/>
  <c r="K73" i="6" s="1"/>
  <c r="N72" i="6"/>
  <c r="P72" i="6"/>
  <c r="W72" i="6" s="1"/>
  <c r="S72" i="6"/>
  <c r="V72" i="6" s="1"/>
  <c r="I6" i="6"/>
  <c r="G5" i="6"/>
  <c r="M5" i="6" s="1"/>
  <c r="B75" i="5"/>
  <c r="B73" i="5"/>
  <c r="B79" i="5" s="1"/>
  <c r="D150" i="4"/>
  <c r="D112" i="4"/>
  <c r="I84" i="6"/>
  <c r="G84" i="6" s="1"/>
  <c r="F85" i="6"/>
  <c r="L85" i="6" s="1"/>
  <c r="U84" i="6"/>
  <c r="R84" i="6"/>
  <c r="K10" i="5"/>
  <c r="G4" i="6"/>
  <c r="D75" i="5"/>
  <c r="D76" i="5" s="1"/>
  <c r="D78" i="5" s="1"/>
  <c r="D73" i="5"/>
  <c r="D79" i="5" s="1"/>
  <c r="D18" i="5"/>
  <c r="I65" i="6"/>
  <c r="G66" i="6"/>
  <c r="M10" i="1"/>
  <c r="J72" i="6"/>
  <c r="K72" i="6" s="1"/>
  <c r="J3" i="6"/>
  <c r="K3" i="6" s="1"/>
  <c r="G17" i="5"/>
  <c r="H18" i="5"/>
  <c r="I66" i="5"/>
  <c r="I67" i="5"/>
  <c r="I69" i="5" s="1"/>
  <c r="I63" i="5"/>
  <c r="E73" i="5"/>
  <c r="E79" i="5" s="1"/>
  <c r="E17" i="5"/>
  <c r="H61" i="5"/>
  <c r="G73" i="5"/>
  <c r="G79" i="5" s="1"/>
  <c r="O11" i="6"/>
  <c r="L12" i="6"/>
  <c r="J16" i="5"/>
  <c r="H68" i="5"/>
  <c r="H70" i="5" s="1"/>
  <c r="H74" i="5" s="1"/>
  <c r="H75" i="5" s="1"/>
  <c r="I12" i="5"/>
  <c r="I13" i="5" s="1"/>
  <c r="N10" i="1" l="1"/>
  <c r="O10" i="1" s="1"/>
  <c r="G80" i="5"/>
  <c r="G82" i="5" s="1"/>
  <c r="D147" i="4"/>
  <c r="X3" i="6"/>
  <c r="E3" i="6" s="1"/>
  <c r="E80" i="5"/>
  <c r="E82" i="5" s="1"/>
  <c r="B76" i="5"/>
  <c r="B78" i="5" s="1"/>
  <c r="B80" i="5" s="1"/>
  <c r="B81" i="5" s="1"/>
  <c r="F82" i="5"/>
  <c r="H76" i="5"/>
  <c r="H78" i="5" s="1"/>
  <c r="D17" i="5"/>
  <c r="X72" i="6"/>
  <c r="E72" i="6" s="1"/>
  <c r="M4" i="6"/>
  <c r="N4" i="6" s="1"/>
  <c r="O28" i="6"/>
  <c r="M84" i="6"/>
  <c r="N5" i="6"/>
  <c r="P5" i="6"/>
  <c r="W5" i="6" s="1"/>
  <c r="S5" i="6"/>
  <c r="V5" i="6" s="1"/>
  <c r="D80" i="5"/>
  <c r="T72" i="6"/>
  <c r="Q72" i="6"/>
  <c r="L10" i="5"/>
  <c r="O85" i="6"/>
  <c r="N73" i="6"/>
  <c r="P73" i="6"/>
  <c r="W73" i="6" s="1"/>
  <c r="S73" i="6"/>
  <c r="V73" i="6" s="1"/>
  <c r="B18" i="5"/>
  <c r="Q3" i="6"/>
  <c r="T3" i="6"/>
  <c r="F29" i="6"/>
  <c r="U28" i="6"/>
  <c r="I28" i="6"/>
  <c r="G28" i="6" s="1"/>
  <c r="R28" i="6"/>
  <c r="M10" i="5"/>
  <c r="J5" i="6"/>
  <c r="M74" i="6"/>
  <c r="J74" i="6" s="1"/>
  <c r="K74" i="6" s="1"/>
  <c r="F86" i="6"/>
  <c r="L86" i="6" s="1"/>
  <c r="U85" i="6"/>
  <c r="R85" i="6"/>
  <c r="H85" i="6"/>
  <c r="I85" i="6" s="1"/>
  <c r="G85" i="6" s="1"/>
  <c r="I7" i="6"/>
  <c r="G6" i="6"/>
  <c r="M6" i="6" s="1"/>
  <c r="M75" i="6"/>
  <c r="J75" i="6" s="1"/>
  <c r="K75" i="6" s="1"/>
  <c r="R7" i="6"/>
  <c r="U7" i="6"/>
  <c r="I64" i="6"/>
  <c r="G65" i="6"/>
  <c r="H9" i="6"/>
  <c r="F8" i="6"/>
  <c r="G27" i="6"/>
  <c r="H73" i="5"/>
  <c r="H79" i="5" s="1"/>
  <c r="I18" i="5"/>
  <c r="J66" i="5"/>
  <c r="J67" i="5"/>
  <c r="J69" i="5" s="1"/>
  <c r="J63" i="5"/>
  <c r="I68" i="5"/>
  <c r="I70" i="5" s="1"/>
  <c r="I74" i="5" s="1"/>
  <c r="I75" i="5" s="1"/>
  <c r="K16" i="5"/>
  <c r="J12" i="5"/>
  <c r="J13" i="5" s="1"/>
  <c r="L13" i="6"/>
  <c r="O12" i="6"/>
  <c r="I61" i="5"/>
  <c r="H17" i="5"/>
  <c r="Y3" i="6" l="1"/>
  <c r="G81" i="5"/>
  <c r="J4" i="6"/>
  <c r="K4" i="6" s="1"/>
  <c r="P4" i="6"/>
  <c r="W4" i="6" s="1"/>
  <c r="S4" i="6"/>
  <c r="V4" i="6" s="1"/>
  <c r="E81" i="5"/>
  <c r="H80" i="5"/>
  <c r="H81" i="5" s="1"/>
  <c r="B82" i="5"/>
  <c r="Y72" i="6"/>
  <c r="B17" i="5"/>
  <c r="N6" i="6"/>
  <c r="P6" i="6"/>
  <c r="S6" i="6"/>
  <c r="I63" i="6"/>
  <c r="G64" i="6"/>
  <c r="N75" i="6"/>
  <c r="P75" i="6"/>
  <c r="W75" i="6" s="1"/>
  <c r="S75" i="6"/>
  <c r="V75" i="6" s="1"/>
  <c r="F87" i="6"/>
  <c r="L87" i="6" s="1"/>
  <c r="R86" i="6"/>
  <c r="U86" i="6"/>
  <c r="Q4" i="6"/>
  <c r="T4" i="6"/>
  <c r="J6" i="6"/>
  <c r="K6" i="6" s="1"/>
  <c r="O86" i="6"/>
  <c r="D82" i="5"/>
  <c r="D81" i="5"/>
  <c r="I29" i="6"/>
  <c r="G29" i="6" s="1"/>
  <c r="F30" i="6"/>
  <c r="I8" i="6"/>
  <c r="G7" i="6"/>
  <c r="M27" i="6"/>
  <c r="R8" i="6"/>
  <c r="U8" i="6"/>
  <c r="X5" i="6"/>
  <c r="H86" i="6"/>
  <c r="N74" i="6"/>
  <c r="P74" i="6"/>
  <c r="W74" i="6" s="1"/>
  <c r="S74" i="6"/>
  <c r="V74" i="6" s="1"/>
  <c r="X73" i="6"/>
  <c r="Q5" i="6"/>
  <c r="T5" i="6"/>
  <c r="L29" i="6"/>
  <c r="U29" i="6" s="1"/>
  <c r="H10" i="6"/>
  <c r="F9" i="6"/>
  <c r="J84" i="6"/>
  <c r="K5" i="6"/>
  <c r="M28" i="6"/>
  <c r="Q73" i="6"/>
  <c r="T73" i="6"/>
  <c r="N84" i="6"/>
  <c r="P84" i="6"/>
  <c r="W84" i="6" s="1"/>
  <c r="S84" i="6"/>
  <c r="V84" i="6" s="1"/>
  <c r="I73" i="5"/>
  <c r="I79" i="5" s="1"/>
  <c r="O13" i="6"/>
  <c r="L14" i="6"/>
  <c r="J18" i="5"/>
  <c r="K63" i="5"/>
  <c r="K66" i="5"/>
  <c r="K67" i="5"/>
  <c r="K69" i="5" s="1"/>
  <c r="J68" i="5"/>
  <c r="J70" i="5" s="1"/>
  <c r="J74" i="5" s="1"/>
  <c r="J75" i="5" s="1"/>
  <c r="L16" i="5"/>
  <c r="K12" i="5"/>
  <c r="K13" i="5" s="1"/>
  <c r="I76" i="5"/>
  <c r="I78" i="5" s="1"/>
  <c r="J61" i="5"/>
  <c r="I17" i="5"/>
  <c r="X4" i="6" l="1"/>
  <c r="M29" i="6"/>
  <c r="P29" i="6" s="1"/>
  <c r="H87" i="6"/>
  <c r="I87" i="6" s="1"/>
  <c r="G87" i="6" s="1"/>
  <c r="H82" i="5"/>
  <c r="I80" i="5"/>
  <c r="I81" i="5" s="1"/>
  <c r="X84" i="6"/>
  <c r="Y84" i="6" s="1"/>
  <c r="X74" i="6"/>
  <c r="E74" i="6" s="1"/>
  <c r="X75" i="6"/>
  <c r="E75" i="6" s="1"/>
  <c r="Q84" i="6"/>
  <c r="T84" i="6"/>
  <c r="P27" i="6"/>
  <c r="W27" i="6" s="1"/>
  <c r="N27" i="6"/>
  <c r="S27" i="6"/>
  <c r="V27" i="6" s="1"/>
  <c r="T74" i="6"/>
  <c r="Q74" i="6"/>
  <c r="I30" i="6"/>
  <c r="G30" i="6" s="1"/>
  <c r="F31" i="6"/>
  <c r="I9" i="6"/>
  <c r="G8" i="6"/>
  <c r="P28" i="6"/>
  <c r="W28" i="6" s="1"/>
  <c r="N28" i="6"/>
  <c r="S28" i="6"/>
  <c r="V28" i="6" s="1"/>
  <c r="E5" i="6"/>
  <c r="Y5" i="6"/>
  <c r="Y4" i="6"/>
  <c r="E4" i="6"/>
  <c r="O29" i="6"/>
  <c r="L30" i="6"/>
  <c r="R30" i="6" s="1"/>
  <c r="T75" i="6"/>
  <c r="Q75" i="6"/>
  <c r="J27" i="6"/>
  <c r="G63" i="6"/>
  <c r="I62" i="6"/>
  <c r="H11" i="6"/>
  <c r="F10" i="6"/>
  <c r="K84" i="6"/>
  <c r="J85" i="6"/>
  <c r="E73" i="6"/>
  <c r="Y73" i="6"/>
  <c r="S1" i="6"/>
  <c r="V6" i="6"/>
  <c r="M7" i="6"/>
  <c r="J28" i="6"/>
  <c r="K28" i="6" s="1"/>
  <c r="I86" i="6"/>
  <c r="G86" i="6" s="1"/>
  <c r="W6" i="6"/>
  <c r="P1" i="6"/>
  <c r="R9" i="6"/>
  <c r="U9" i="6"/>
  <c r="AB4" i="6" s="1"/>
  <c r="AB5" i="6" s="1"/>
  <c r="R29" i="6"/>
  <c r="O87" i="6"/>
  <c r="F88" i="6"/>
  <c r="L88" i="6" s="1"/>
  <c r="R87" i="6"/>
  <c r="U87" i="6"/>
  <c r="Q6" i="6"/>
  <c r="T6" i="6"/>
  <c r="K18" i="5"/>
  <c r="L66" i="5"/>
  <c r="L63" i="5"/>
  <c r="L67" i="5"/>
  <c r="L69" i="5" s="1"/>
  <c r="K68" i="5"/>
  <c r="K70" i="5" s="1"/>
  <c r="K74" i="5" s="1"/>
  <c r="K75" i="5" s="1"/>
  <c r="L15" i="6"/>
  <c r="O14" i="6"/>
  <c r="J73" i="5"/>
  <c r="J79" i="5" s="1"/>
  <c r="K61" i="5"/>
  <c r="J17" i="5"/>
  <c r="L12" i="5"/>
  <c r="L13" i="5" s="1"/>
  <c r="M16" i="5"/>
  <c r="J76" i="5"/>
  <c r="J78" i="5" s="1"/>
  <c r="J29" i="6" l="1"/>
  <c r="K29" i="6" s="1"/>
  <c r="N29" i="6"/>
  <c r="Q29" i="6" s="1"/>
  <c r="S29" i="6"/>
  <c r="V29" i="6" s="1"/>
  <c r="E84" i="6"/>
  <c r="K27" i="6"/>
  <c r="Z27" i="6"/>
  <c r="Z28" i="6" s="1"/>
  <c r="Z29" i="6" s="1"/>
  <c r="Z30" i="6" s="1"/>
  <c r="Y74" i="6"/>
  <c r="I82" i="5"/>
  <c r="Y75" i="6"/>
  <c r="X28" i="6"/>
  <c r="E28" i="6" s="1"/>
  <c r="U30" i="6"/>
  <c r="M30" i="6" s="1"/>
  <c r="P30" i="6" s="1"/>
  <c r="W30" i="6" s="1"/>
  <c r="X27" i="6"/>
  <c r="E27" i="6" s="1"/>
  <c r="U10" i="6"/>
  <c r="R10" i="6"/>
  <c r="H12" i="6"/>
  <c r="F11" i="6"/>
  <c r="I31" i="6"/>
  <c r="G31" i="6" s="1"/>
  <c r="F32" i="6"/>
  <c r="G62" i="6"/>
  <c r="I61" i="6"/>
  <c r="I10" i="6"/>
  <c r="G9" i="6"/>
  <c r="M9" i="6" s="1"/>
  <c r="O88" i="6"/>
  <c r="N7" i="6"/>
  <c r="P7" i="6"/>
  <c r="W7" i="6" s="1"/>
  <c r="S7" i="6"/>
  <c r="V7" i="6" s="1"/>
  <c r="Q28" i="6"/>
  <c r="T28" i="6"/>
  <c r="L31" i="6"/>
  <c r="U31" i="6" s="1"/>
  <c r="O30" i="6"/>
  <c r="X6" i="6"/>
  <c r="J80" i="5"/>
  <c r="J81" i="5" s="1"/>
  <c r="F89" i="6"/>
  <c r="L89" i="6" s="1"/>
  <c r="R88" i="6"/>
  <c r="U88" i="6"/>
  <c r="J86" i="6"/>
  <c r="K85" i="6"/>
  <c r="M85" i="6"/>
  <c r="H88" i="6"/>
  <c r="I88" i="6" s="1"/>
  <c r="G88" i="6" s="1"/>
  <c r="J7" i="6"/>
  <c r="K7" i="6" s="1"/>
  <c r="M8" i="6"/>
  <c r="Q27" i="6"/>
  <c r="T27" i="6"/>
  <c r="W29" i="6"/>
  <c r="K73" i="5"/>
  <c r="K79" i="5" s="1"/>
  <c r="O15" i="6"/>
  <c r="L16" i="6"/>
  <c r="L61" i="5"/>
  <c r="M12" i="5"/>
  <c r="M13" i="5" s="1"/>
  <c r="L18" i="5"/>
  <c r="K76" i="5"/>
  <c r="K78" i="5" s="1"/>
  <c r="L68" i="5"/>
  <c r="L70" i="5" s="1"/>
  <c r="K17" i="5"/>
  <c r="T29" i="6" l="1"/>
  <c r="Y27" i="6"/>
  <c r="Y32" i="2"/>
  <c r="X32" i="2"/>
  <c r="N30" i="6"/>
  <c r="T30" i="6" s="1"/>
  <c r="S30" i="6"/>
  <c r="V30" i="6" s="1"/>
  <c r="X30" i="6" s="1"/>
  <c r="Y28" i="6"/>
  <c r="Z31" i="6"/>
  <c r="J82" i="5"/>
  <c r="M31" i="6"/>
  <c r="S31" i="6" s="1"/>
  <c r="J30" i="6"/>
  <c r="K30" i="6" s="1"/>
  <c r="K80" i="5"/>
  <c r="K82" i="5" s="1"/>
  <c r="P9" i="6"/>
  <c r="N9" i="6"/>
  <c r="S9" i="6"/>
  <c r="AA7" i="6" s="1"/>
  <c r="AA8" i="6" s="1"/>
  <c r="N8" i="6"/>
  <c r="P8" i="6"/>
  <c r="W8" i="6" s="1"/>
  <c r="S8" i="6"/>
  <c r="V8" i="6" s="1"/>
  <c r="L32" i="6"/>
  <c r="U32" i="6" s="1"/>
  <c r="O31" i="6"/>
  <c r="X29" i="6"/>
  <c r="R31" i="6"/>
  <c r="O89" i="6"/>
  <c r="P85" i="6"/>
  <c r="W85" i="6" s="1"/>
  <c r="M86" i="6"/>
  <c r="S85" i="6"/>
  <c r="V85" i="6" s="1"/>
  <c r="N85" i="6"/>
  <c r="J9" i="6"/>
  <c r="K9" i="6" s="1"/>
  <c r="I32" i="6"/>
  <c r="G32" i="6" s="1"/>
  <c r="F33" i="6"/>
  <c r="F90" i="6"/>
  <c r="U89" i="6"/>
  <c r="R89" i="6"/>
  <c r="I11" i="6"/>
  <c r="G10" i="6"/>
  <c r="M10" i="6" s="1"/>
  <c r="J8" i="6"/>
  <c r="K8" i="6" s="1"/>
  <c r="K86" i="6"/>
  <c r="J87" i="6"/>
  <c r="X7" i="6"/>
  <c r="I60" i="6"/>
  <c r="G60" i="6" s="1"/>
  <c r="G61" i="6"/>
  <c r="R11" i="6"/>
  <c r="U11" i="6"/>
  <c r="H89" i="6"/>
  <c r="I89" i="6" s="1"/>
  <c r="Y6" i="6"/>
  <c r="E6" i="6"/>
  <c r="Q7" i="6"/>
  <c r="T7" i="6"/>
  <c r="H13" i="6"/>
  <c r="F12" i="6"/>
  <c r="M18" i="5"/>
  <c r="O16" i="6"/>
  <c r="L17" i="6"/>
  <c r="L17" i="5"/>
  <c r="Q30" i="6" l="1"/>
  <c r="Z32" i="2"/>
  <c r="AC32" i="2" s="1"/>
  <c r="G32" i="2" s="1"/>
  <c r="W32" i="2"/>
  <c r="I32" i="2" s="1"/>
  <c r="X33" i="2"/>
  <c r="X31" i="2"/>
  <c r="H32" i="2"/>
  <c r="Y87" i="4"/>
  <c r="Y40" i="2"/>
  <c r="Y35" i="2"/>
  <c r="Y28" i="2"/>
  <c r="Y87" i="2" s="1"/>
  <c r="V101" i="2" s="1"/>
  <c r="Y33" i="2"/>
  <c r="Y34" i="2"/>
  <c r="Y29" i="2"/>
  <c r="Y38" i="2"/>
  <c r="Y36" i="2"/>
  <c r="Y37" i="2"/>
  <c r="Y31" i="2"/>
  <c r="Y30" i="2"/>
  <c r="Y27" i="2"/>
  <c r="Y39" i="2"/>
  <c r="N31" i="6"/>
  <c r="T31" i="6" s="1"/>
  <c r="P31" i="6"/>
  <c r="W31" i="6" s="1"/>
  <c r="J31" i="6"/>
  <c r="K31" i="6" s="1"/>
  <c r="W9" i="6"/>
  <c r="AB6" i="6"/>
  <c r="AB7" i="6" s="1"/>
  <c r="AB8" i="6" s="1"/>
  <c r="AC8" i="6" s="1"/>
  <c r="M32" i="6"/>
  <c r="P32" i="6" s="1"/>
  <c r="Z32" i="6"/>
  <c r="K81" i="5"/>
  <c r="V31" i="6"/>
  <c r="E29" i="6"/>
  <c r="Y29" i="6"/>
  <c r="L33" i="6"/>
  <c r="R33" i="6" s="1"/>
  <c r="O32" i="6"/>
  <c r="Q8" i="6"/>
  <c r="T8" i="6"/>
  <c r="N10" i="6"/>
  <c r="P10" i="6"/>
  <c r="W10" i="6" s="1"/>
  <c r="S10" i="6"/>
  <c r="V10" i="6" s="1"/>
  <c r="E30" i="6"/>
  <c r="Y30" i="6"/>
  <c r="P86" i="6"/>
  <c r="W86" i="6" s="1"/>
  <c r="M87" i="6"/>
  <c r="N86" i="6"/>
  <c r="S86" i="6"/>
  <c r="V86" i="6" s="1"/>
  <c r="V9" i="6"/>
  <c r="F13" i="6"/>
  <c r="H14" i="6"/>
  <c r="J10" i="6"/>
  <c r="K10" i="6" s="1"/>
  <c r="X85" i="6"/>
  <c r="Q9" i="6"/>
  <c r="T9" i="6"/>
  <c r="T85" i="6"/>
  <c r="Q85" i="6"/>
  <c r="E7" i="6"/>
  <c r="Y7" i="6"/>
  <c r="I12" i="6"/>
  <c r="G11" i="6"/>
  <c r="R32" i="6"/>
  <c r="F91" i="6"/>
  <c r="X8" i="6"/>
  <c r="H90" i="6"/>
  <c r="I90" i="6" s="1"/>
  <c r="G90" i="6" s="1"/>
  <c r="G89" i="6"/>
  <c r="K87" i="6"/>
  <c r="J88" i="6"/>
  <c r="F34" i="6"/>
  <c r="I33" i="6"/>
  <c r="G33" i="6" s="1"/>
  <c r="L90" i="6"/>
  <c r="U12" i="6"/>
  <c r="R12" i="6"/>
  <c r="O17" i="6"/>
  <c r="M17" i="5"/>
  <c r="W101" i="2" l="1"/>
  <c r="V102" i="2"/>
  <c r="X87" i="4"/>
  <c r="Z87" i="4"/>
  <c r="X34" i="2"/>
  <c r="Z33" i="2"/>
  <c r="AC33" i="2" s="1"/>
  <c r="W33" i="2"/>
  <c r="I33" i="2" s="1"/>
  <c r="H33" i="2"/>
  <c r="AB32" i="2"/>
  <c r="J32" i="2"/>
  <c r="AA32" i="2" s="1"/>
  <c r="X30" i="2"/>
  <c r="Z31" i="2"/>
  <c r="AC31" i="2" s="1"/>
  <c r="H31" i="2"/>
  <c r="W31" i="2"/>
  <c r="I31" i="2" s="1"/>
  <c r="X9" i="6"/>
  <c r="Y9" i="6" s="1"/>
  <c r="Q31" i="6"/>
  <c r="S32" i="6"/>
  <c r="V32" i="6" s="1"/>
  <c r="N32" i="6"/>
  <c r="T32" i="6" s="1"/>
  <c r="J32" i="6"/>
  <c r="K32" i="6" s="1"/>
  <c r="W32" i="6"/>
  <c r="Z33" i="6"/>
  <c r="X31" i="6"/>
  <c r="E31" i="6" s="1"/>
  <c r="Y8" i="6"/>
  <c r="E8" i="6"/>
  <c r="X10" i="6"/>
  <c r="L91" i="6"/>
  <c r="R91" i="6" s="1"/>
  <c r="O90" i="6"/>
  <c r="U90" i="6"/>
  <c r="I13" i="6"/>
  <c r="I18" i="6"/>
  <c r="G12" i="6"/>
  <c r="M12" i="6" s="1"/>
  <c r="F14" i="6"/>
  <c r="H15" i="6"/>
  <c r="Q86" i="6"/>
  <c r="T86" i="6"/>
  <c r="Q10" i="6"/>
  <c r="T10" i="6"/>
  <c r="R90" i="6"/>
  <c r="P87" i="6"/>
  <c r="W87" i="6" s="1"/>
  <c r="M88" i="6"/>
  <c r="N87" i="6"/>
  <c r="S87" i="6"/>
  <c r="V87" i="6" s="1"/>
  <c r="K88" i="6"/>
  <c r="J89" i="6"/>
  <c r="R13" i="6"/>
  <c r="U13" i="6"/>
  <c r="X86" i="6"/>
  <c r="M11" i="6"/>
  <c r="J11" i="6" s="1"/>
  <c r="K11" i="6" s="1"/>
  <c r="Y85" i="6"/>
  <c r="E85" i="6"/>
  <c r="I34" i="6"/>
  <c r="G34" i="6" s="1"/>
  <c r="F35" i="6"/>
  <c r="H91" i="6"/>
  <c r="U33" i="6"/>
  <c r="M33" i="6" s="1"/>
  <c r="N33" i="6" s="1"/>
  <c r="O33" i="6"/>
  <c r="L34" i="6"/>
  <c r="R34" i="6" s="1"/>
  <c r="V103" i="2" l="1"/>
  <c r="V104" i="2" s="1"/>
  <c r="V105" i="2" s="1"/>
  <c r="V106" i="2" s="1"/>
  <c r="V107" i="2" s="1"/>
  <c r="V108" i="2" s="1"/>
  <c r="V109" i="2" s="1"/>
  <c r="V110" i="2" s="1"/>
  <c r="V111" i="2" s="1"/>
  <c r="V112" i="2" s="1"/>
  <c r="V113" i="2" s="1"/>
  <c r="V114" i="2" s="1"/>
  <c r="V115" i="2" s="1"/>
  <c r="V116" i="2" s="1"/>
  <c r="V117" i="2" s="1"/>
  <c r="V118" i="2" s="1"/>
  <c r="V119" i="2" s="1"/>
  <c r="V120" i="2" s="1"/>
  <c r="V121" i="2" s="1"/>
  <c r="V122" i="2" s="1"/>
  <c r="V123" i="2" s="1"/>
  <c r="V124" i="2" s="1"/>
  <c r="V125" i="2" s="1"/>
  <c r="V126" i="2" s="1"/>
  <c r="V127" i="2" s="1"/>
  <c r="V128" i="2" s="1"/>
  <c r="V129" i="2" s="1"/>
  <c r="V130" i="2" s="1"/>
  <c r="V131" i="2" s="1"/>
  <c r="W102" i="2"/>
  <c r="W87" i="4"/>
  <c r="J33" i="2"/>
  <c r="AA33" i="2" s="1"/>
  <c r="AE32" i="2"/>
  <c r="M32" i="2"/>
  <c r="K32" i="2" s="1"/>
  <c r="L32" i="2" s="1"/>
  <c r="X29" i="2"/>
  <c r="Z30" i="2"/>
  <c r="AC30" i="2" s="1"/>
  <c r="H30" i="2"/>
  <c r="W30" i="2"/>
  <c r="I30" i="2" s="1"/>
  <c r="X35" i="2"/>
  <c r="W34" i="2"/>
  <c r="I34" i="2" s="1"/>
  <c r="H34" i="2"/>
  <c r="G31" i="2"/>
  <c r="AB31" i="2"/>
  <c r="J31" i="2"/>
  <c r="AA31" i="2" s="1"/>
  <c r="G33" i="2"/>
  <c r="AB33" i="2"/>
  <c r="Z34" i="2"/>
  <c r="AC34" i="2" s="1"/>
  <c r="Q32" i="6"/>
  <c r="U91" i="6"/>
  <c r="E9" i="6"/>
  <c r="Y31" i="6"/>
  <c r="X32" i="6"/>
  <c r="Y32" i="6" s="1"/>
  <c r="X87" i="6"/>
  <c r="Y87" i="6" s="1"/>
  <c r="Z34" i="6"/>
  <c r="Q33" i="6"/>
  <c r="T33" i="6"/>
  <c r="U34" i="6"/>
  <c r="M34" i="6" s="1"/>
  <c r="J34" i="6" s="1"/>
  <c r="K34" i="6" s="1"/>
  <c r="J12" i="6"/>
  <c r="K12" i="6" s="1"/>
  <c r="Y10" i="6"/>
  <c r="E10" i="6"/>
  <c r="I91" i="6"/>
  <c r="G91" i="6" s="1"/>
  <c r="I19" i="6"/>
  <c r="G18" i="6"/>
  <c r="O34" i="6"/>
  <c r="L35" i="6"/>
  <c r="R35" i="6" s="1"/>
  <c r="P33" i="6"/>
  <c r="W33" i="6" s="1"/>
  <c r="S33" i="6"/>
  <c r="V33" i="6" s="1"/>
  <c r="I35" i="6"/>
  <c r="G35" i="6" s="1"/>
  <c r="F36" i="6"/>
  <c r="P11" i="6"/>
  <c r="W11" i="6" s="1"/>
  <c r="N11" i="6"/>
  <c r="S11" i="6"/>
  <c r="V11" i="6" s="1"/>
  <c r="E86" i="6"/>
  <c r="Y86" i="6"/>
  <c r="I14" i="6"/>
  <c r="G13" i="6"/>
  <c r="M13" i="6" s="1"/>
  <c r="O91" i="6"/>
  <c r="H16" i="6"/>
  <c r="F15" i="6"/>
  <c r="J33" i="6"/>
  <c r="K33" i="6" s="1"/>
  <c r="J90" i="6"/>
  <c r="K89" i="6"/>
  <c r="Q87" i="6"/>
  <c r="T87" i="6"/>
  <c r="R14" i="6"/>
  <c r="U14" i="6"/>
  <c r="N12" i="6"/>
  <c r="P12" i="6"/>
  <c r="W12" i="6" s="1"/>
  <c r="S12" i="6"/>
  <c r="V12" i="6" s="1"/>
  <c r="M89" i="6"/>
  <c r="P88" i="6"/>
  <c r="W88" i="6" s="1"/>
  <c r="N88" i="6"/>
  <c r="S88" i="6"/>
  <c r="V88" i="6" s="1"/>
  <c r="X103" i="2" l="1"/>
  <c r="M31" i="2"/>
  <c r="K31" i="2" s="1"/>
  <c r="L31" i="2" s="1"/>
  <c r="J30" i="2"/>
  <c r="AA30" i="2" s="1"/>
  <c r="M33" i="2"/>
  <c r="K33" i="2" s="1"/>
  <c r="L33" i="2" s="1"/>
  <c r="X36" i="2"/>
  <c r="Z35" i="2"/>
  <c r="AC35" i="2" s="1"/>
  <c r="H35" i="2"/>
  <c r="J35" i="2" s="1"/>
  <c r="W35" i="2"/>
  <c r="I35" i="2" s="1"/>
  <c r="G30" i="2"/>
  <c r="AB30" i="2"/>
  <c r="J34" i="2"/>
  <c r="AA34" i="2" s="1"/>
  <c r="X28" i="2"/>
  <c r="X87" i="2" s="1"/>
  <c r="W29" i="2"/>
  <c r="I29" i="2" s="1"/>
  <c r="H29" i="2"/>
  <c r="Z29" i="2"/>
  <c r="AC29" i="2" s="1"/>
  <c r="G34" i="2"/>
  <c r="AB34" i="2"/>
  <c r="E87" i="6"/>
  <c r="E32" i="6"/>
  <c r="U35" i="6"/>
  <c r="M35" i="6" s="1"/>
  <c r="Z35" i="6"/>
  <c r="N34" i="6"/>
  <c r="Q34" i="6" s="1"/>
  <c r="X88" i="6"/>
  <c r="Y88" i="6" s="1"/>
  <c r="N13" i="6"/>
  <c r="P13" i="6"/>
  <c r="W13" i="6" s="1"/>
  <c r="S13" i="6"/>
  <c r="V13" i="6" s="1"/>
  <c r="Q88" i="6"/>
  <c r="T88" i="6"/>
  <c r="P89" i="6"/>
  <c r="W89" i="6" s="1"/>
  <c r="M90" i="6"/>
  <c r="S89" i="6"/>
  <c r="V89" i="6" s="1"/>
  <c r="N89" i="6"/>
  <c r="U15" i="6"/>
  <c r="R15" i="6"/>
  <c r="K85" i="4"/>
  <c r="K85" i="2"/>
  <c r="F16" i="6"/>
  <c r="H17" i="6"/>
  <c r="P34" i="6"/>
  <c r="W34" i="6" s="1"/>
  <c r="S34" i="6"/>
  <c r="V34" i="6" s="1"/>
  <c r="L36" i="6"/>
  <c r="O35" i="6"/>
  <c r="Q11" i="6"/>
  <c r="T11" i="6"/>
  <c r="K90" i="6"/>
  <c r="J91" i="6"/>
  <c r="K91" i="6" s="1"/>
  <c r="X11" i="6"/>
  <c r="X33" i="6"/>
  <c r="Q12" i="6"/>
  <c r="T12" i="6"/>
  <c r="G19" i="6"/>
  <c r="I20" i="6"/>
  <c r="I36" i="6"/>
  <c r="G36" i="6" s="1"/>
  <c r="F37" i="6"/>
  <c r="I15" i="6"/>
  <c r="G14" i="6"/>
  <c r="M14" i="6" s="1"/>
  <c r="X12" i="6"/>
  <c r="J13" i="6"/>
  <c r="K13" i="6" s="1"/>
  <c r="M18" i="6"/>
  <c r="X104" i="2" l="1"/>
  <c r="W103" i="2"/>
  <c r="M30" i="2"/>
  <c r="K30" i="2" s="1"/>
  <c r="L30" i="2" s="1"/>
  <c r="AA35" i="2"/>
  <c r="G29" i="2"/>
  <c r="AB29" i="2"/>
  <c r="L85" i="4"/>
  <c r="J29" i="2"/>
  <c r="AA29" i="2" s="1"/>
  <c r="G35" i="2"/>
  <c r="AB35" i="2"/>
  <c r="M35" i="2" s="1"/>
  <c r="K35" i="2" s="1"/>
  <c r="L35" i="2" s="1"/>
  <c r="X27" i="2"/>
  <c r="Z28" i="2"/>
  <c r="W28" i="2"/>
  <c r="H28" i="2"/>
  <c r="X37" i="2"/>
  <c r="W36" i="2"/>
  <c r="I36" i="2" s="1"/>
  <c r="H36" i="2"/>
  <c r="Z36" i="2"/>
  <c r="AC36" i="2" s="1"/>
  <c r="M34" i="2"/>
  <c r="K34" i="2" s="1"/>
  <c r="L34" i="2" s="1"/>
  <c r="E88" i="6"/>
  <c r="P35" i="6"/>
  <c r="W35" i="6" s="1"/>
  <c r="J35" i="6"/>
  <c r="K35" i="6" s="1"/>
  <c r="N35" i="6"/>
  <c r="Q35" i="6" s="1"/>
  <c r="S35" i="6"/>
  <c r="V35" i="6" s="1"/>
  <c r="T34" i="6"/>
  <c r="H87" i="2"/>
  <c r="Z36" i="6"/>
  <c r="X34" i="6"/>
  <c r="Y34" i="6" s="1"/>
  <c r="P14" i="6"/>
  <c r="W14" i="6" s="1"/>
  <c r="N14" i="6"/>
  <c r="S14" i="6"/>
  <c r="V14" i="6" s="1"/>
  <c r="R16" i="6"/>
  <c r="U16" i="6"/>
  <c r="M19" i="6"/>
  <c r="J19" i="6" s="1"/>
  <c r="K19" i="6" s="1"/>
  <c r="P18" i="6"/>
  <c r="W18" i="6" s="1"/>
  <c r="N18" i="6"/>
  <c r="S18" i="6"/>
  <c r="V18" i="6" s="1"/>
  <c r="Q89" i="6"/>
  <c r="T89" i="6"/>
  <c r="L37" i="6"/>
  <c r="U37" i="6" s="1"/>
  <c r="O36" i="6"/>
  <c r="F17" i="6"/>
  <c r="J18" i="6"/>
  <c r="K18" i="6" s="1"/>
  <c r="R36" i="6"/>
  <c r="I16" i="6"/>
  <c r="G15" i="6"/>
  <c r="M15" i="6" s="1"/>
  <c r="U36" i="6"/>
  <c r="M36" i="6" s="1"/>
  <c r="N36" i="6" s="1"/>
  <c r="M91" i="6"/>
  <c r="P90" i="6"/>
  <c r="W90" i="6" s="1"/>
  <c r="S90" i="6"/>
  <c r="V90" i="6" s="1"/>
  <c r="N90" i="6"/>
  <c r="I37" i="6"/>
  <c r="G37" i="6" s="1"/>
  <c r="F38" i="6"/>
  <c r="E33" i="6"/>
  <c r="Y33" i="6"/>
  <c r="X89" i="6"/>
  <c r="X13" i="6"/>
  <c r="J14" i="6"/>
  <c r="K14" i="6" s="1"/>
  <c r="I21" i="6"/>
  <c r="G20" i="6"/>
  <c r="M20" i="6" s="1"/>
  <c r="E12" i="6"/>
  <c r="Y12" i="6"/>
  <c r="Y11" i="6"/>
  <c r="E11" i="6"/>
  <c r="Q13" i="6"/>
  <c r="T13" i="6"/>
  <c r="U101" i="2" l="1"/>
  <c r="U100" i="2"/>
  <c r="T100" i="2" s="1"/>
  <c r="W104" i="2"/>
  <c r="X105" i="2"/>
  <c r="J36" i="2"/>
  <c r="I28" i="2"/>
  <c r="I87" i="2" s="1"/>
  <c r="W87" i="2"/>
  <c r="M29" i="2"/>
  <c r="K29" i="2" s="1"/>
  <c r="L29" i="2" s="1"/>
  <c r="L85" i="2" s="1"/>
  <c r="G36" i="2"/>
  <c r="AB36" i="2"/>
  <c r="W27" i="2"/>
  <c r="I27" i="2" s="1"/>
  <c r="H27" i="2"/>
  <c r="Z27" i="2"/>
  <c r="AC27" i="2" s="1"/>
  <c r="Z87" i="2"/>
  <c r="AC28" i="2"/>
  <c r="AC87" i="2" s="1"/>
  <c r="I87" i="4"/>
  <c r="AC87" i="4"/>
  <c r="J28" i="2"/>
  <c r="J87" i="2" s="1"/>
  <c r="AA36" i="2"/>
  <c r="X38" i="2"/>
  <c r="W37" i="2"/>
  <c r="I37" i="2" s="1"/>
  <c r="Z37" i="2"/>
  <c r="AC37" i="2" s="1"/>
  <c r="H37" i="2"/>
  <c r="J37" i="2" s="1"/>
  <c r="T35" i="6"/>
  <c r="X35" i="6"/>
  <c r="Y35" i="6" s="1"/>
  <c r="H87" i="4"/>
  <c r="Z37" i="6"/>
  <c r="E34" i="6"/>
  <c r="J36" i="6"/>
  <c r="K36" i="6" s="1"/>
  <c r="M37" i="6"/>
  <c r="P37" i="6" s="1"/>
  <c r="P15" i="6"/>
  <c r="W15" i="6" s="1"/>
  <c r="N15" i="6"/>
  <c r="S15" i="6"/>
  <c r="V15" i="6" s="1"/>
  <c r="Q36" i="6"/>
  <c r="T36" i="6"/>
  <c r="E89" i="6"/>
  <c r="Y89" i="6"/>
  <c r="P36" i="6"/>
  <c r="W36" i="6" s="1"/>
  <c r="S36" i="6"/>
  <c r="V36" i="6" s="1"/>
  <c r="I38" i="6"/>
  <c r="G38" i="6" s="1"/>
  <c r="F39" i="6"/>
  <c r="Q90" i="6"/>
  <c r="T90" i="6"/>
  <c r="J15" i="6"/>
  <c r="K15" i="6" s="1"/>
  <c r="R17" i="6"/>
  <c r="U17" i="6"/>
  <c r="J20" i="6"/>
  <c r="K20" i="6" s="1"/>
  <c r="N20" i="6"/>
  <c r="P20" i="6"/>
  <c r="W20" i="6" s="1"/>
  <c r="S20" i="6"/>
  <c r="V20" i="6" s="1"/>
  <c r="X90" i="6"/>
  <c r="I17" i="6"/>
  <c r="G17" i="6" s="1"/>
  <c r="G16" i="6"/>
  <c r="M16" i="6" s="1"/>
  <c r="Q18" i="6"/>
  <c r="T18" i="6"/>
  <c r="Q14" i="6"/>
  <c r="T14" i="6"/>
  <c r="L38" i="6"/>
  <c r="R38" i="6" s="1"/>
  <c r="O37" i="6"/>
  <c r="Y13" i="6"/>
  <c r="E13" i="6"/>
  <c r="R37" i="6"/>
  <c r="P19" i="6"/>
  <c r="W19" i="6" s="1"/>
  <c r="N19" i="6"/>
  <c r="S19" i="6"/>
  <c r="V19" i="6" s="1"/>
  <c r="I22" i="6"/>
  <c r="G21" i="6"/>
  <c r="P91" i="6"/>
  <c r="W91" i="6" s="1"/>
  <c r="S91" i="6"/>
  <c r="V91" i="6" s="1"/>
  <c r="N91" i="6"/>
  <c r="X18" i="6"/>
  <c r="X14" i="6"/>
  <c r="X106" i="2" l="1"/>
  <c r="W105" i="2"/>
  <c r="M36" i="2"/>
  <c r="K36" i="2" s="1"/>
  <c r="L36" i="2" s="1"/>
  <c r="AB87" i="4"/>
  <c r="AA87" i="4"/>
  <c r="AA28" i="2"/>
  <c r="AA87" i="2" s="1"/>
  <c r="AA37" i="2"/>
  <c r="G37" i="2"/>
  <c r="AB37" i="2"/>
  <c r="M37" i="2" s="1"/>
  <c r="K37" i="2" s="1"/>
  <c r="L37" i="2" s="1"/>
  <c r="G27" i="2"/>
  <c r="AB27" i="2"/>
  <c r="J27" i="2"/>
  <c r="AA27" i="2" s="1"/>
  <c r="X39" i="2"/>
  <c r="H38" i="2"/>
  <c r="J38" i="2" s="1"/>
  <c r="W38" i="2"/>
  <c r="I38" i="2" s="1"/>
  <c r="Z38" i="2"/>
  <c r="AC38" i="2" s="1"/>
  <c r="G28" i="2"/>
  <c r="G87" i="2" s="1"/>
  <c r="P112" i="2" s="1"/>
  <c r="AB28" i="2"/>
  <c r="AB87" i="2" s="1"/>
  <c r="E35" i="6"/>
  <c r="J87" i="4"/>
  <c r="Z38" i="6"/>
  <c r="N37" i="6"/>
  <c r="Q37" i="6" s="1"/>
  <c r="S37" i="6"/>
  <c r="V37" i="6" s="1"/>
  <c r="J37" i="6"/>
  <c r="K37" i="6" s="1"/>
  <c r="X91" i="6"/>
  <c r="Y91" i="6" s="1"/>
  <c r="X20" i="6"/>
  <c r="Y20" i="6" s="1"/>
  <c r="T20" i="6"/>
  <c r="Q20" i="6"/>
  <c r="J16" i="6"/>
  <c r="K16" i="6" s="1"/>
  <c r="X36" i="6"/>
  <c r="W37" i="6"/>
  <c r="P16" i="6"/>
  <c r="W16" i="6" s="1"/>
  <c r="N16" i="6"/>
  <c r="S16" i="6"/>
  <c r="V16" i="6" s="1"/>
  <c r="E18" i="6"/>
  <c r="Y18" i="6"/>
  <c r="M21" i="6"/>
  <c r="U38" i="6"/>
  <c r="M38" i="6" s="1"/>
  <c r="I23" i="6"/>
  <c r="G23" i="6" s="1"/>
  <c r="G22" i="6"/>
  <c r="Y90" i="6"/>
  <c r="E90" i="6"/>
  <c r="Q15" i="6"/>
  <c r="T15" i="6"/>
  <c r="L39" i="6"/>
  <c r="U39" i="6" s="1"/>
  <c r="O38" i="6"/>
  <c r="I39" i="6"/>
  <c r="G39" i="6" s="1"/>
  <c r="F40" i="6"/>
  <c r="X15" i="6"/>
  <c r="E14" i="6"/>
  <c r="Y14" i="6"/>
  <c r="Q91" i="6"/>
  <c r="T91" i="6"/>
  <c r="Q19" i="6"/>
  <c r="T19" i="6"/>
  <c r="X19" i="6"/>
  <c r="M17" i="6"/>
  <c r="J17" i="6" s="1"/>
  <c r="K17" i="6" s="1"/>
  <c r="G87" i="4"/>
  <c r="P113" i="2" l="1"/>
  <c r="P114" i="2" s="1"/>
  <c r="P115" i="2" s="1"/>
  <c r="P116" i="2" s="1"/>
  <c r="P117" i="2" s="1"/>
  <c r="P118" i="2" s="1"/>
  <c r="P119" i="2" s="1"/>
  <c r="P120" i="2" s="1"/>
  <c r="P121" i="2" s="1"/>
  <c r="P122" i="2" s="1"/>
  <c r="P123" i="2" s="1"/>
  <c r="P124" i="2" s="1"/>
  <c r="P125" i="2" s="1"/>
  <c r="P126" i="2" s="1"/>
  <c r="P127" i="2" s="1"/>
  <c r="P128" i="2" s="1"/>
  <c r="P129" i="2" s="1"/>
  <c r="P130" i="2" s="1"/>
  <c r="P131" i="2" s="1"/>
  <c r="P103" i="2"/>
  <c r="X107" i="2"/>
  <c r="W106" i="2"/>
  <c r="O39" i="2"/>
  <c r="M28" i="2"/>
  <c r="X40" i="2"/>
  <c r="H39" i="2"/>
  <c r="J39" i="2" s="1"/>
  <c r="W39" i="2"/>
  <c r="I39" i="2" s="1"/>
  <c r="Z39" i="2"/>
  <c r="AC39" i="2" s="1"/>
  <c r="G38" i="2"/>
  <c r="AB38" i="2"/>
  <c r="AA38" i="2"/>
  <c r="M27" i="2"/>
  <c r="K27" i="2" s="1"/>
  <c r="L27" i="2" s="1"/>
  <c r="T37" i="6"/>
  <c r="E20" i="6"/>
  <c r="M87" i="4"/>
  <c r="R39" i="6"/>
  <c r="E91" i="6"/>
  <c r="Z39" i="6"/>
  <c r="M39" i="6"/>
  <c r="N39" i="6" s="1"/>
  <c r="P38" i="6"/>
  <c r="W38" i="6" s="1"/>
  <c r="S38" i="6"/>
  <c r="V38" i="6" s="1"/>
  <c r="X16" i="6"/>
  <c r="N17" i="6"/>
  <c r="P17" i="6"/>
  <c r="W17" i="6" s="1"/>
  <c r="S17" i="6"/>
  <c r="V17" i="6" s="1"/>
  <c r="F41" i="6"/>
  <c r="I40" i="6"/>
  <c r="G40" i="6" s="1"/>
  <c r="N38" i="6"/>
  <c r="X37" i="6"/>
  <c r="Q16" i="6"/>
  <c r="T16" i="6"/>
  <c r="E19" i="6"/>
  <c r="Y19" i="6"/>
  <c r="L40" i="6"/>
  <c r="U40" i="6" s="1"/>
  <c r="O39" i="6"/>
  <c r="P21" i="6"/>
  <c r="W21" i="6" s="1"/>
  <c r="N21" i="6"/>
  <c r="S21" i="6"/>
  <c r="V21" i="6" s="1"/>
  <c r="E36" i="6"/>
  <c r="Y36" i="6"/>
  <c r="J38" i="6"/>
  <c r="K38" i="6" s="1"/>
  <c r="M22" i="6"/>
  <c r="J21" i="6"/>
  <c r="K21" i="6" s="1"/>
  <c r="E15" i="6"/>
  <c r="Y15" i="6"/>
  <c r="M23" i="6"/>
  <c r="J23" i="6" s="1"/>
  <c r="K23" i="6" s="1"/>
  <c r="X108" i="2" l="1"/>
  <c r="W107" i="2"/>
  <c r="P104" i="2"/>
  <c r="P105" i="2" s="1"/>
  <c r="P106" i="2" s="1"/>
  <c r="P107" i="2" s="1"/>
  <c r="P108" i="2" s="1"/>
  <c r="P109" i="2" s="1"/>
  <c r="P110" i="2" s="1"/>
  <c r="P111" i="2" s="1"/>
  <c r="R103" i="2"/>
  <c r="P39" i="2"/>
  <c r="K28" i="2"/>
  <c r="M87" i="2"/>
  <c r="S112" i="2" s="1"/>
  <c r="S113" i="2" s="1"/>
  <c r="S114" i="2" s="1"/>
  <c r="S115" i="2" s="1"/>
  <c r="S116" i="2" s="1"/>
  <c r="S117" i="2" s="1"/>
  <c r="S118" i="2" s="1"/>
  <c r="S119" i="2" s="1"/>
  <c r="S120" i="2" s="1"/>
  <c r="S121" i="2" s="1"/>
  <c r="S122" i="2" s="1"/>
  <c r="S123" i="2" s="1"/>
  <c r="S124" i="2" s="1"/>
  <c r="S125" i="2" s="1"/>
  <c r="S126" i="2" s="1"/>
  <c r="S127" i="2" s="1"/>
  <c r="S128" i="2" s="1"/>
  <c r="S129" i="2" s="1"/>
  <c r="S130" i="2" s="1"/>
  <c r="S131" i="2" s="1"/>
  <c r="M38" i="2"/>
  <c r="K38" i="2" s="1"/>
  <c r="L38" i="2" s="1"/>
  <c r="G39" i="2"/>
  <c r="AB39" i="2"/>
  <c r="M39" i="2" s="1"/>
  <c r="K39" i="2" s="1"/>
  <c r="L39" i="2" s="1"/>
  <c r="AA39" i="2"/>
  <c r="H40" i="2"/>
  <c r="J40" i="2" s="1"/>
  <c r="Z40" i="2"/>
  <c r="AC40" i="2" s="1"/>
  <c r="W40" i="2"/>
  <c r="I40" i="2" s="1"/>
  <c r="M40" i="6"/>
  <c r="S40" i="6" s="1"/>
  <c r="J39" i="6"/>
  <c r="K39" i="6" s="1"/>
  <c r="X21" i="6"/>
  <c r="E21" i="6" s="1"/>
  <c r="Z40" i="6"/>
  <c r="P39" i="6"/>
  <c r="W39" i="6" s="1"/>
  <c r="S39" i="6"/>
  <c r="V39" i="6" s="1"/>
  <c r="R40" i="6"/>
  <c r="X17" i="6"/>
  <c r="Y17" i="6" s="1"/>
  <c r="P22" i="6"/>
  <c r="W22" i="6" s="1"/>
  <c r="N22" i="6"/>
  <c r="S22" i="6"/>
  <c r="V22" i="6" s="1"/>
  <c r="Y37" i="6"/>
  <c r="E37" i="6"/>
  <c r="T21" i="6"/>
  <c r="Q21" i="6"/>
  <c r="K87" i="4"/>
  <c r="Q17" i="6"/>
  <c r="T17" i="6"/>
  <c r="Y16" i="6"/>
  <c r="E16" i="6"/>
  <c r="Q38" i="6"/>
  <c r="T38" i="6"/>
  <c r="Q39" i="6"/>
  <c r="T39" i="6"/>
  <c r="P23" i="6"/>
  <c r="W23" i="6" s="1"/>
  <c r="S23" i="6"/>
  <c r="V23" i="6" s="1"/>
  <c r="N23" i="6"/>
  <c r="J22" i="6"/>
  <c r="K22" i="6" s="1"/>
  <c r="O40" i="6"/>
  <c r="L41" i="6"/>
  <c r="R41" i="6" s="1"/>
  <c r="F42" i="6"/>
  <c r="I41" i="6"/>
  <c r="G41" i="6" s="1"/>
  <c r="X38" i="6"/>
  <c r="Q103" i="2" l="1"/>
  <c r="R104" i="2"/>
  <c r="W108" i="2"/>
  <c r="X109" i="2"/>
  <c r="L28" i="2"/>
  <c r="L87" i="2" s="1"/>
  <c r="K87" i="2"/>
  <c r="S101" i="2" s="1"/>
  <c r="Y21" i="6"/>
  <c r="G40" i="2"/>
  <c r="AB40" i="2"/>
  <c r="M40" i="2" s="1"/>
  <c r="K40" i="2" s="1"/>
  <c r="L40" i="2" s="1"/>
  <c r="AA40" i="2"/>
  <c r="P40" i="6"/>
  <c r="W40" i="6" s="1"/>
  <c r="N40" i="6"/>
  <c r="T40" i="6" s="1"/>
  <c r="J40" i="6"/>
  <c r="K40" i="6" s="1"/>
  <c r="Z41" i="6"/>
  <c r="U41" i="6"/>
  <c r="M41" i="6" s="1"/>
  <c r="E17" i="6"/>
  <c r="X39" i="6"/>
  <c r="Y39" i="6" s="1"/>
  <c r="T22" i="6"/>
  <c r="Q22" i="6"/>
  <c r="T23" i="6"/>
  <c r="Q23" i="6"/>
  <c r="X22" i="6"/>
  <c r="I42" i="6"/>
  <c r="G42" i="6" s="1"/>
  <c r="F43" i="6"/>
  <c r="X23" i="6"/>
  <c r="Y38" i="6"/>
  <c r="E38" i="6"/>
  <c r="O41" i="6"/>
  <c r="L42" i="6"/>
  <c r="U42" i="6" s="1"/>
  <c r="V40" i="6"/>
  <c r="L87" i="4"/>
  <c r="S102" i="2" l="1"/>
  <c r="S103" i="2" s="1"/>
  <c r="S104" i="2" s="1"/>
  <c r="S105" i="2" s="1"/>
  <c r="S106" i="2" s="1"/>
  <c r="S107" i="2" s="1"/>
  <c r="S108" i="2" s="1"/>
  <c r="S109" i="2" s="1"/>
  <c r="S110" i="2" s="1"/>
  <c r="S111" i="2" s="1"/>
  <c r="T101" i="2"/>
  <c r="U102" i="2"/>
  <c r="R105" i="2"/>
  <c r="Q104" i="2"/>
  <c r="X110" i="2"/>
  <c r="W109" i="2"/>
  <c r="O40" i="2"/>
  <c r="Q40" i="6"/>
  <c r="N41" i="6"/>
  <c r="T41" i="6" s="1"/>
  <c r="J41" i="6"/>
  <c r="K41" i="6" s="1"/>
  <c r="Z42" i="6"/>
  <c r="M42" i="6"/>
  <c r="J42" i="6" s="1"/>
  <c r="K42" i="6" s="1"/>
  <c r="X40" i="6"/>
  <c r="Y40" i="6" s="1"/>
  <c r="E39" i="6"/>
  <c r="E23" i="6"/>
  <c r="Y23" i="6"/>
  <c r="E22" i="6"/>
  <c r="Y22" i="6"/>
  <c r="R42" i="6"/>
  <c r="O42" i="6"/>
  <c r="L43" i="6"/>
  <c r="U43" i="6" s="1"/>
  <c r="F44" i="6"/>
  <c r="I43" i="6"/>
  <c r="G43" i="6" s="1"/>
  <c r="P41" i="6"/>
  <c r="W41" i="6" s="1"/>
  <c r="S41" i="6"/>
  <c r="V41" i="6" s="1"/>
  <c r="Q105" i="2" l="1"/>
  <c r="R106" i="2"/>
  <c r="T102" i="2"/>
  <c r="U103" i="2"/>
  <c r="W110" i="2"/>
  <c r="X111" i="2"/>
  <c r="P40" i="2"/>
  <c r="S42" i="6"/>
  <c r="V42" i="6" s="1"/>
  <c r="Q41" i="6"/>
  <c r="P42" i="6"/>
  <c r="W42" i="6" s="1"/>
  <c r="N42" i="6"/>
  <c r="Q42" i="6" s="1"/>
  <c r="E40" i="6"/>
  <c r="Z43" i="6"/>
  <c r="X41" i="6"/>
  <c r="Y41" i="6" s="1"/>
  <c r="M43" i="6"/>
  <c r="P43" i="6" s="1"/>
  <c r="I44" i="6"/>
  <c r="G44" i="6" s="1"/>
  <c r="F45" i="6"/>
  <c r="L44" i="6"/>
  <c r="U44" i="6" s="1"/>
  <c r="O43" i="6"/>
  <c r="R43" i="6"/>
  <c r="X112" i="2" l="1"/>
  <c r="W111" i="2"/>
  <c r="R107" i="2"/>
  <c r="Q106" i="2"/>
  <c r="R112" i="2"/>
  <c r="T103" i="2"/>
  <c r="U104" i="2"/>
  <c r="T42" i="6"/>
  <c r="E41" i="6"/>
  <c r="W43" i="6"/>
  <c r="X42" i="6"/>
  <c r="Y42" i="6" s="1"/>
  <c r="Z44" i="6"/>
  <c r="M44" i="6"/>
  <c r="S44" i="6" s="1"/>
  <c r="N43" i="6"/>
  <c r="T43" i="6" s="1"/>
  <c r="S43" i="6"/>
  <c r="V43" i="6" s="1"/>
  <c r="J43" i="6"/>
  <c r="K43" i="6" s="1"/>
  <c r="R44" i="6"/>
  <c r="I45" i="6"/>
  <c r="G45" i="6" s="1"/>
  <c r="F46" i="6"/>
  <c r="L45" i="6"/>
  <c r="R45" i="6" s="1"/>
  <c r="O44" i="6"/>
  <c r="R113" i="2" l="1"/>
  <c r="Q112" i="2"/>
  <c r="R108" i="2"/>
  <c r="Q107" i="2"/>
  <c r="T104" i="2"/>
  <c r="U105" i="2"/>
  <c r="W112" i="2"/>
  <c r="X113" i="2"/>
  <c r="E42" i="6"/>
  <c r="P44" i="6"/>
  <c r="W44" i="6" s="1"/>
  <c r="Q43" i="6"/>
  <c r="Z45" i="6"/>
  <c r="X43" i="6"/>
  <c r="Y43" i="6" s="1"/>
  <c r="N44" i="6"/>
  <c r="T44" i="6" s="1"/>
  <c r="J44" i="6"/>
  <c r="K44" i="6" s="1"/>
  <c r="V44" i="6"/>
  <c r="I46" i="6"/>
  <c r="G46" i="6" s="1"/>
  <c r="F47" i="6"/>
  <c r="L46" i="6"/>
  <c r="R46" i="6" s="1"/>
  <c r="O45" i="6"/>
  <c r="U45" i="6"/>
  <c r="M45" i="6" s="1"/>
  <c r="N45" i="6" s="1"/>
  <c r="R109" i="2" l="1"/>
  <c r="Q108" i="2"/>
  <c r="T105" i="2"/>
  <c r="U106" i="2"/>
  <c r="W113" i="2"/>
  <c r="X114" i="2"/>
  <c r="R114" i="2"/>
  <c r="Q113" i="2"/>
  <c r="Q44" i="6"/>
  <c r="E43" i="6"/>
  <c r="X44" i="6"/>
  <c r="Y44" i="6" s="1"/>
  <c r="Z46" i="6"/>
  <c r="J45" i="6"/>
  <c r="K45" i="6" s="1"/>
  <c r="Q45" i="6"/>
  <c r="T45" i="6"/>
  <c r="P45" i="6"/>
  <c r="W45" i="6" s="1"/>
  <c r="S45" i="6"/>
  <c r="V45" i="6" s="1"/>
  <c r="O46" i="6"/>
  <c r="L47" i="6"/>
  <c r="R47" i="6" s="1"/>
  <c r="U46" i="6"/>
  <c r="M46" i="6" s="1"/>
  <c r="F48" i="6"/>
  <c r="I47" i="6"/>
  <c r="G47" i="6" s="1"/>
  <c r="X115" i="2" l="1"/>
  <c r="W114" i="2"/>
  <c r="U107" i="2"/>
  <c r="T106" i="2"/>
  <c r="U112" i="2"/>
  <c r="Q114" i="2"/>
  <c r="R115" i="2"/>
  <c r="Q109" i="2"/>
  <c r="R110" i="2"/>
  <c r="U47" i="6"/>
  <c r="M47" i="6" s="1"/>
  <c r="N47" i="6" s="1"/>
  <c r="E44" i="6"/>
  <c r="Z47" i="6"/>
  <c r="I48" i="6"/>
  <c r="G48" i="6" s="1"/>
  <c r="P46" i="6"/>
  <c r="W46" i="6" s="1"/>
  <c r="S46" i="6"/>
  <c r="V46" i="6" s="1"/>
  <c r="X45" i="6"/>
  <c r="N46" i="6"/>
  <c r="L48" i="6"/>
  <c r="U48" i="6" s="1"/>
  <c r="O47" i="6"/>
  <c r="J46" i="6"/>
  <c r="K46" i="6" s="1"/>
  <c r="T107" i="2" l="1"/>
  <c r="U108" i="2"/>
  <c r="U113" i="2"/>
  <c r="T112" i="2"/>
  <c r="R111" i="2"/>
  <c r="Q111" i="2" s="1"/>
  <c r="Q110" i="2"/>
  <c r="R116" i="2"/>
  <c r="Q115" i="2"/>
  <c r="W115" i="2"/>
  <c r="X116" i="2"/>
  <c r="Z48" i="6"/>
  <c r="Z49" i="6" s="1"/>
  <c r="Z50" i="6" s="1"/>
  <c r="Z51" i="6" s="1"/>
  <c r="Z52" i="6" s="1"/>
  <c r="Z53" i="6" s="1"/>
  <c r="Z54" i="6" s="1"/>
  <c r="Z55" i="6" s="1"/>
  <c r="Z56" i="6" s="1"/>
  <c r="M48" i="6"/>
  <c r="P48" i="6" s="1"/>
  <c r="J47" i="6"/>
  <c r="K47" i="6" s="1"/>
  <c r="P47" i="6"/>
  <c r="W47" i="6" s="1"/>
  <c r="S47" i="6"/>
  <c r="V47" i="6" s="1"/>
  <c r="R48" i="6"/>
  <c r="E45" i="6"/>
  <c r="Y45" i="6"/>
  <c r="Q47" i="6"/>
  <c r="T47" i="6"/>
  <c r="X46" i="6"/>
  <c r="O48" i="6"/>
  <c r="L49" i="6"/>
  <c r="L71" i="6" s="1"/>
  <c r="Q46" i="6"/>
  <c r="T46" i="6"/>
  <c r="W116" i="2" l="1"/>
  <c r="X117" i="2"/>
  <c r="U109" i="2"/>
  <c r="T108" i="2"/>
  <c r="T113" i="2"/>
  <c r="U114" i="2"/>
  <c r="Q116" i="2"/>
  <c r="R117" i="2"/>
  <c r="J48" i="6"/>
  <c r="K48" i="6" s="1"/>
  <c r="N48" i="6"/>
  <c r="Q48" i="6" s="1"/>
  <c r="S48" i="6"/>
  <c r="V48" i="6" s="1"/>
  <c r="W48" i="6"/>
  <c r="X47" i="6"/>
  <c r="O49" i="6"/>
  <c r="R49" i="6"/>
  <c r="R92" i="6" s="1"/>
  <c r="U49" i="6"/>
  <c r="L92" i="6"/>
  <c r="L50" i="6"/>
  <c r="E46" i="6"/>
  <c r="Y46" i="6"/>
  <c r="U110" i="2" l="1"/>
  <c r="T109" i="2"/>
  <c r="X118" i="2"/>
  <c r="W117" i="2"/>
  <c r="T114" i="2"/>
  <c r="U115" i="2"/>
  <c r="Q117" i="2"/>
  <c r="R118" i="2"/>
  <c r="T48" i="6"/>
  <c r="X48" i="6"/>
  <c r="Y48" i="6" s="1"/>
  <c r="Y47" i="6"/>
  <c r="E47" i="6"/>
  <c r="E92" i="6" s="1"/>
  <c r="U71" i="6"/>
  <c r="M71" i="6" s="1"/>
  <c r="N71" i="6" s="1"/>
  <c r="L70" i="6"/>
  <c r="O71" i="6"/>
  <c r="R71" i="6"/>
  <c r="O92" i="6"/>
  <c r="M49" i="6"/>
  <c r="U92" i="6"/>
  <c r="O50" i="6"/>
  <c r="U50" i="6"/>
  <c r="M50" i="6" s="1"/>
  <c r="N50" i="6" s="1"/>
  <c r="R50" i="6"/>
  <c r="L51" i="6"/>
  <c r="X119" i="2" l="1"/>
  <c r="W118" i="2"/>
  <c r="T115" i="2"/>
  <c r="U116" i="2"/>
  <c r="R119" i="2"/>
  <c r="Q118" i="2"/>
  <c r="T110" i="2"/>
  <c r="U111" i="2"/>
  <c r="T111" i="2" s="1"/>
  <c r="E48" i="6"/>
  <c r="Q50" i="6"/>
  <c r="T50" i="6"/>
  <c r="Q71" i="6"/>
  <c r="T71" i="6"/>
  <c r="O70" i="6"/>
  <c r="R70" i="6"/>
  <c r="L69" i="6"/>
  <c r="U70" i="6"/>
  <c r="M70" i="6" s="1"/>
  <c r="N70" i="6" s="1"/>
  <c r="J71" i="6"/>
  <c r="K71" i="6" s="1"/>
  <c r="S71" i="6"/>
  <c r="V71" i="6" s="1"/>
  <c r="P71" i="6"/>
  <c r="W71" i="6" s="1"/>
  <c r="S49" i="6"/>
  <c r="M92" i="6"/>
  <c r="J49" i="6"/>
  <c r="P49" i="6"/>
  <c r="N49" i="6"/>
  <c r="S50" i="6"/>
  <c r="V50" i="6" s="1"/>
  <c r="P50" i="6"/>
  <c r="W50" i="6" s="1"/>
  <c r="J50" i="6"/>
  <c r="K50" i="6" s="1"/>
  <c r="L52" i="6"/>
  <c r="R51" i="6"/>
  <c r="U51" i="6"/>
  <c r="M51" i="6" s="1"/>
  <c r="N51" i="6" s="1"/>
  <c r="O51" i="6"/>
  <c r="R120" i="2" l="1"/>
  <c r="Q119" i="2"/>
  <c r="U117" i="2"/>
  <c r="T116" i="2"/>
  <c r="W119" i="2"/>
  <c r="X120" i="2"/>
  <c r="X50" i="6"/>
  <c r="E50" i="6" s="1"/>
  <c r="Q51" i="6"/>
  <c r="T51" i="6"/>
  <c r="L68" i="6"/>
  <c r="U69" i="6"/>
  <c r="M69" i="6" s="1"/>
  <c r="R69" i="6"/>
  <c r="O69" i="6"/>
  <c r="X71" i="6"/>
  <c r="J51" i="6"/>
  <c r="K51" i="6" s="1"/>
  <c r="P51" i="6"/>
  <c r="W51" i="6" s="1"/>
  <c r="S51" i="6"/>
  <c r="V51" i="6" s="1"/>
  <c r="Q49" i="6"/>
  <c r="Q92" i="6" s="1"/>
  <c r="N92" i="6"/>
  <c r="T49" i="6"/>
  <c r="T92" i="6" s="1"/>
  <c r="W49" i="6"/>
  <c r="P92" i="6"/>
  <c r="S92" i="6"/>
  <c r="V49" i="6"/>
  <c r="V92" i="6" s="1"/>
  <c r="O52" i="6"/>
  <c r="L53" i="6"/>
  <c r="R52" i="6"/>
  <c r="U52" i="6"/>
  <c r="M52" i="6" s="1"/>
  <c r="N52" i="6" s="1"/>
  <c r="J92" i="6"/>
  <c r="K49" i="6"/>
  <c r="K92" i="6" s="1"/>
  <c r="Q70" i="6"/>
  <c r="T70" i="6"/>
  <c r="S70" i="6"/>
  <c r="V70" i="6" s="1"/>
  <c r="P70" i="6"/>
  <c r="W70" i="6" s="1"/>
  <c r="J70" i="6"/>
  <c r="K70" i="6" s="1"/>
  <c r="X121" i="2" l="1"/>
  <c r="W120" i="2"/>
  <c r="U118" i="2"/>
  <c r="T117" i="2"/>
  <c r="R121" i="2"/>
  <c r="Q120" i="2"/>
  <c r="Y50" i="6"/>
  <c r="X70" i="6"/>
  <c r="Y70" i="6" s="1"/>
  <c r="J69" i="6"/>
  <c r="K69" i="6" s="1"/>
  <c r="P69" i="6"/>
  <c r="W69" i="6" s="1"/>
  <c r="S69" i="6"/>
  <c r="V69" i="6" s="1"/>
  <c r="Q52" i="6"/>
  <c r="T52" i="6"/>
  <c r="Y71" i="6"/>
  <c r="E71" i="6"/>
  <c r="W92" i="6"/>
  <c r="X49" i="6"/>
  <c r="P52" i="6"/>
  <c r="W52" i="6" s="1"/>
  <c r="J52" i="6"/>
  <c r="K52" i="6" s="1"/>
  <c r="S52" i="6"/>
  <c r="V52" i="6" s="1"/>
  <c r="N69" i="6"/>
  <c r="O68" i="6"/>
  <c r="L67" i="6"/>
  <c r="R68" i="6"/>
  <c r="U68" i="6"/>
  <c r="M68" i="6" s="1"/>
  <c r="N68" i="6" s="1"/>
  <c r="L54" i="6"/>
  <c r="R53" i="6"/>
  <c r="O53" i="6"/>
  <c r="U53" i="6"/>
  <c r="M53" i="6" s="1"/>
  <c r="N53" i="6" s="1"/>
  <c r="X51" i="6"/>
  <c r="Q121" i="2" l="1"/>
  <c r="R122" i="2"/>
  <c r="T118" i="2"/>
  <c r="U119" i="2"/>
  <c r="X122" i="2"/>
  <c r="W121" i="2"/>
  <c r="E70" i="6"/>
  <c r="T68" i="6"/>
  <c r="Q68" i="6"/>
  <c r="Y51" i="6"/>
  <c r="E51" i="6"/>
  <c r="Q69" i="6"/>
  <c r="T69" i="6"/>
  <c r="X69" i="6"/>
  <c r="J68" i="6"/>
  <c r="K68" i="6" s="1"/>
  <c r="P68" i="6"/>
  <c r="W68" i="6" s="1"/>
  <c r="S68" i="6"/>
  <c r="V68" i="6" s="1"/>
  <c r="Q53" i="6"/>
  <c r="T53" i="6"/>
  <c r="P53" i="6"/>
  <c r="W53" i="6" s="1"/>
  <c r="J53" i="6"/>
  <c r="K53" i="6" s="1"/>
  <c r="S53" i="6"/>
  <c r="V53" i="6" s="1"/>
  <c r="X52" i="6"/>
  <c r="O67" i="6"/>
  <c r="U67" i="6"/>
  <c r="M67" i="6" s="1"/>
  <c r="N67" i="6" s="1"/>
  <c r="R67" i="6"/>
  <c r="L66" i="6"/>
  <c r="X92" i="6"/>
  <c r="E49" i="6"/>
  <c r="Y49" i="6"/>
  <c r="Y92" i="6" s="1"/>
  <c r="O54" i="6"/>
  <c r="R54" i="6"/>
  <c r="U54" i="6"/>
  <c r="M54" i="6" s="1"/>
  <c r="N54" i="6" s="1"/>
  <c r="L55" i="6"/>
  <c r="X123" i="2" l="1"/>
  <c r="W122" i="2"/>
  <c r="Q122" i="2"/>
  <c r="R123" i="2"/>
  <c r="U120" i="2"/>
  <c r="T119" i="2"/>
  <c r="P54" i="6"/>
  <c r="W54" i="6" s="1"/>
  <c r="J54" i="6"/>
  <c r="K54" i="6" s="1"/>
  <c r="S54" i="6"/>
  <c r="V54" i="6" s="1"/>
  <c r="O66" i="6"/>
  <c r="U66" i="6"/>
  <c r="M66" i="6" s="1"/>
  <c r="N66" i="6" s="1"/>
  <c r="L65" i="6"/>
  <c r="R66" i="6"/>
  <c r="X53" i="6"/>
  <c r="Y69" i="6"/>
  <c r="E69" i="6"/>
  <c r="T54" i="6"/>
  <c r="Q54" i="6"/>
  <c r="X68" i="6"/>
  <c r="J67" i="6"/>
  <c r="K67" i="6" s="1"/>
  <c r="P67" i="6"/>
  <c r="W67" i="6" s="1"/>
  <c r="S67" i="6"/>
  <c r="V67" i="6" s="1"/>
  <c r="R55" i="6"/>
  <c r="L56" i="6"/>
  <c r="U55" i="6"/>
  <c r="M55" i="6" s="1"/>
  <c r="N55" i="6" s="1"/>
  <c r="O55" i="6"/>
  <c r="T67" i="6"/>
  <c r="Q67" i="6"/>
  <c r="E52" i="6"/>
  <c r="Y52" i="6"/>
  <c r="T120" i="2" l="1"/>
  <c r="U121" i="2"/>
  <c r="R124" i="2"/>
  <c r="Q123" i="2"/>
  <c r="W123" i="2"/>
  <c r="X124" i="2"/>
  <c r="T55" i="6"/>
  <c r="Q55" i="6"/>
  <c r="X67" i="6"/>
  <c r="U65" i="6"/>
  <c r="M65" i="6" s="1"/>
  <c r="R65" i="6"/>
  <c r="O65" i="6"/>
  <c r="L64" i="6"/>
  <c r="S66" i="6"/>
  <c r="V66" i="6" s="1"/>
  <c r="P66" i="6"/>
  <c r="W66" i="6" s="1"/>
  <c r="J66" i="6"/>
  <c r="K66" i="6" s="1"/>
  <c r="E68" i="6"/>
  <c r="Y68" i="6"/>
  <c r="Q66" i="6"/>
  <c r="T66" i="6"/>
  <c r="J55" i="6"/>
  <c r="K55" i="6" s="1"/>
  <c r="S55" i="6"/>
  <c r="V55" i="6" s="1"/>
  <c r="P55" i="6"/>
  <c r="W55" i="6" s="1"/>
  <c r="U56" i="6"/>
  <c r="M56" i="6" s="1"/>
  <c r="R56" i="6"/>
  <c r="O56" i="6"/>
  <c r="Y53" i="6"/>
  <c r="E53" i="6"/>
  <c r="X54" i="6"/>
  <c r="T121" i="2" l="1"/>
  <c r="U122" i="2"/>
  <c r="W124" i="2"/>
  <c r="X125" i="2"/>
  <c r="R125" i="2"/>
  <c r="Q124" i="2"/>
  <c r="P65" i="6"/>
  <c r="W65" i="6" s="1"/>
  <c r="J65" i="6"/>
  <c r="K65" i="6" s="1"/>
  <c r="S65" i="6"/>
  <c r="V65" i="6" s="1"/>
  <c r="X55" i="6"/>
  <c r="E67" i="6"/>
  <c r="Y67" i="6"/>
  <c r="P56" i="6"/>
  <c r="W56" i="6" s="1"/>
  <c r="S56" i="6"/>
  <c r="V56" i="6" s="1"/>
  <c r="J56" i="6"/>
  <c r="K56" i="6" s="1"/>
  <c r="X66" i="6"/>
  <c r="N65" i="6"/>
  <c r="Y54" i="6"/>
  <c r="E54" i="6"/>
  <c r="N56" i="6"/>
  <c r="O64" i="6"/>
  <c r="U64" i="6"/>
  <c r="M64" i="6" s="1"/>
  <c r="R64" i="6"/>
  <c r="L63" i="6"/>
  <c r="Q125" i="2" l="1"/>
  <c r="R126" i="2"/>
  <c r="T122" i="2"/>
  <c r="U123" i="2"/>
  <c r="X126" i="2"/>
  <c r="W125" i="2"/>
  <c r="T65" i="6"/>
  <c r="Q65" i="6"/>
  <c r="E66" i="6"/>
  <c r="Y66" i="6"/>
  <c r="E55" i="6"/>
  <c r="Y55" i="6"/>
  <c r="L62" i="6"/>
  <c r="R63" i="6"/>
  <c r="U63" i="6"/>
  <c r="M63" i="6" s="1"/>
  <c r="N63" i="6" s="1"/>
  <c r="O63" i="6"/>
  <c r="Q56" i="6"/>
  <c r="T56" i="6"/>
  <c r="J64" i="6"/>
  <c r="K64" i="6" s="1"/>
  <c r="S64" i="6"/>
  <c r="V64" i="6" s="1"/>
  <c r="P64" i="6"/>
  <c r="W64" i="6" s="1"/>
  <c r="N64" i="6"/>
  <c r="X56" i="6"/>
  <c r="X65" i="6"/>
  <c r="W126" i="2" l="1"/>
  <c r="X127" i="2"/>
  <c r="Q126" i="2"/>
  <c r="R127" i="2"/>
  <c r="T123" i="2"/>
  <c r="U124" i="2"/>
  <c r="X64" i="6"/>
  <c r="E64" i="6" s="1"/>
  <c r="Q63" i="6"/>
  <c r="T63" i="6"/>
  <c r="T64" i="6"/>
  <c r="Q64" i="6"/>
  <c r="E56" i="6"/>
  <c r="Y56" i="6"/>
  <c r="E65" i="6"/>
  <c r="Y65" i="6"/>
  <c r="P63" i="6"/>
  <c r="S63" i="6"/>
  <c r="S58" i="6" s="1"/>
  <c r="J63" i="6"/>
  <c r="K63" i="6" s="1"/>
  <c r="O62" i="6"/>
  <c r="U62" i="6"/>
  <c r="M62" i="6" s="1"/>
  <c r="N62" i="6" s="1"/>
  <c r="R62" i="6"/>
  <c r="L61" i="6"/>
  <c r="W127" i="2" l="1"/>
  <c r="X128" i="2"/>
  <c r="U125" i="2"/>
  <c r="T124" i="2"/>
  <c r="R128" i="2"/>
  <c r="Q127" i="2"/>
  <c r="Y64" i="6"/>
  <c r="V63" i="6"/>
  <c r="U61" i="6"/>
  <c r="M61" i="6" s="1"/>
  <c r="N61" i="6" s="1"/>
  <c r="L60" i="6"/>
  <c r="O61" i="6"/>
  <c r="R61" i="6"/>
  <c r="T62" i="6"/>
  <c r="Q62" i="6"/>
  <c r="P62" i="6"/>
  <c r="W62" i="6" s="1"/>
  <c r="S62" i="6"/>
  <c r="V62" i="6" s="1"/>
  <c r="J62" i="6"/>
  <c r="K62" i="6" s="1"/>
  <c r="W63" i="6"/>
  <c r="P58" i="6"/>
  <c r="W128" i="2" l="1"/>
  <c r="X129" i="2"/>
  <c r="R129" i="2"/>
  <c r="Q128" i="2"/>
  <c r="T125" i="2"/>
  <c r="U126" i="2"/>
  <c r="X63" i="6"/>
  <c r="Y63" i="6" s="1"/>
  <c r="X62" i="6"/>
  <c r="E62" i="6" s="1"/>
  <c r="T61" i="6"/>
  <c r="Q61" i="6"/>
  <c r="O60" i="6"/>
  <c r="U60" i="6"/>
  <c r="M60" i="6" s="1"/>
  <c r="R60" i="6"/>
  <c r="S61" i="6"/>
  <c r="V61" i="6" s="1"/>
  <c r="J61" i="6"/>
  <c r="K61" i="6" s="1"/>
  <c r="P61" i="6"/>
  <c r="W61" i="6" s="1"/>
  <c r="U127" i="2" l="1"/>
  <c r="T126" i="2"/>
  <c r="X130" i="2"/>
  <c r="W129" i="2"/>
  <c r="Q129" i="2"/>
  <c r="R130" i="2"/>
  <c r="E63" i="6"/>
  <c r="Y62" i="6"/>
  <c r="J60" i="6"/>
  <c r="K60" i="6" s="1"/>
  <c r="P60" i="6"/>
  <c r="W60" i="6" s="1"/>
  <c r="S60" i="6"/>
  <c r="V60" i="6" s="1"/>
  <c r="N60" i="6"/>
  <c r="X61" i="6"/>
  <c r="R131" i="2" l="1"/>
  <c r="Q131" i="2" s="1"/>
  <c r="Q130" i="2"/>
  <c r="X131" i="2"/>
  <c r="W131" i="2" s="1"/>
  <c r="W130" i="2"/>
  <c r="T127" i="2"/>
  <c r="U128" i="2"/>
  <c r="X60" i="6"/>
  <c r="Y60" i="6" s="1"/>
  <c r="T60" i="6"/>
  <c r="Q60" i="6"/>
  <c r="E61" i="6"/>
  <c r="Y61" i="6"/>
  <c r="T128" i="2" l="1"/>
  <c r="U129" i="2"/>
  <c r="E60" i="6"/>
  <c r="T129" i="2" l="1"/>
  <c r="U130" i="2"/>
  <c r="T130" i="2" l="1"/>
  <c r="U131" i="2"/>
  <c r="T13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jordi trullén</author>
  </authors>
  <commentList>
    <comment ref="E21" authorId="0" shapeId="0" xr:uid="{00000000-0006-0000-0100-000001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F21" authorId="0" shapeId="0" xr:uid="{00000000-0006-0000-0100-000002000000}">
      <text>
        <r>
          <rPr>
            <sz val="14"/>
            <color indexed="81"/>
            <rFont val="Arial Narrow"/>
            <family val="2"/>
          </rPr>
          <t>La</t>
        </r>
        <r>
          <rPr>
            <b/>
            <sz val="14"/>
            <color indexed="81"/>
            <rFont val="Arial Narrow"/>
            <family val="2"/>
          </rPr>
          <t xml:space="preserve"> 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21" authorId="0" shapeId="0" xr:uid="{00000000-0006-0000-0100-000003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M21" authorId="0" shapeId="0" xr:uid="{00000000-0006-0000-0100-000004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Max. Inverter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>value fix the speed limits of the motor for a given power or torque.</t>
        </r>
      </text>
    </comment>
    <comment ref="E81" authorId="0" shapeId="0" xr:uid="{00000000-0006-0000-0100-000005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81" authorId="0" shapeId="0" xr:uid="{00000000-0006-0000-0100-000006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A89" authorId="0" shapeId="0" xr:uid="{00000000-0006-0000-0100-000007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91" authorId="0" shapeId="0" xr:uid="{00000000-0006-0000-0100-000008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91" authorId="0" shapeId="0" xr:uid="{00000000-0006-0000-0100-000009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91" authorId="0" shapeId="0" xr:uid="{00000000-0006-0000-0100-00000A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A113" authorId="0" shapeId="0" xr:uid="{00000000-0006-0000-0100-00000B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115" authorId="0" shapeId="0" xr:uid="{00000000-0006-0000-0100-00000C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115" authorId="0" shapeId="0" xr:uid="{00000000-0006-0000-0100-00000D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115" authorId="0" shapeId="0" xr:uid="{00000000-0006-0000-0100-00000E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jordi trullén</author>
  </authors>
  <commentList>
    <comment ref="E21" authorId="0" shapeId="0" xr:uid="{00000000-0006-0000-0300-000001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F21" authorId="0" shapeId="0" xr:uid="{00000000-0006-0000-0300-000002000000}">
      <text>
        <r>
          <rPr>
            <sz val="14"/>
            <color indexed="81"/>
            <rFont val="Arial Narrow"/>
            <family val="2"/>
          </rPr>
          <t>La</t>
        </r>
        <r>
          <rPr>
            <b/>
            <sz val="14"/>
            <color indexed="81"/>
            <rFont val="Arial Narrow"/>
            <family val="2"/>
          </rPr>
          <t xml:space="preserve"> 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21" authorId="0" shapeId="0" xr:uid="{00000000-0006-0000-0300-000003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M21" authorId="0" shapeId="0" xr:uid="{00000000-0006-0000-0300-000004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Max. Inverter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>value fix the speed limits of the motor for a given power or torque.</t>
        </r>
      </text>
    </comment>
    <comment ref="E81" authorId="0" shapeId="0" xr:uid="{00000000-0006-0000-0300-000005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81" authorId="0" shapeId="0" xr:uid="{00000000-0006-0000-0300-000006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A89" authorId="0" shapeId="0" xr:uid="{00000000-0006-0000-0300-000007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91" authorId="0" shapeId="0" xr:uid="{00000000-0006-0000-0300-000008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91" authorId="0" shapeId="0" xr:uid="{00000000-0006-0000-0300-000009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91" authorId="0" shapeId="0" xr:uid="{00000000-0006-0000-0300-00000A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A113" authorId="0" shapeId="0" xr:uid="{00000000-0006-0000-0300-00000B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115" authorId="0" shapeId="0" xr:uid="{00000000-0006-0000-0300-00000C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115" authorId="0" shapeId="0" xr:uid="{00000000-0006-0000-0300-00000D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115" authorId="0" shapeId="0" xr:uid="{00000000-0006-0000-0300-00000E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</commentList>
</comments>
</file>

<file path=xl/sharedStrings.xml><?xml version="1.0" encoding="utf-8"?>
<sst xmlns="http://schemas.openxmlformats.org/spreadsheetml/2006/main" count="662" uniqueCount="262">
  <si>
    <t>Codi</t>
  </si>
  <si>
    <t>Edició</t>
  </si>
  <si>
    <t xml:space="preserve"> - Fitxa Tècnica -</t>
  </si>
  <si>
    <t>Pàgina</t>
  </si>
  <si>
    <t>1 de 2</t>
  </si>
  <si>
    <t>Data</t>
  </si>
  <si>
    <t>Pols</t>
  </si>
  <si>
    <t>Codigo</t>
  </si>
  <si>
    <t>Edición</t>
  </si>
  <si>
    <t xml:space="preserve"> - Hoja de Datos Técnicos Modo Motor -</t>
  </si>
  <si>
    <t>Página</t>
  </si>
  <si>
    <t>1 de 3</t>
  </si>
  <si>
    <t xml:space="preserve"> - Driving mode Technical Datasheet -</t>
  </si>
  <si>
    <t>Fecha</t>
  </si>
  <si>
    <t>Ventilador / Fan</t>
  </si>
  <si>
    <t xml:space="preserve">Rodamientos     </t>
  </si>
  <si>
    <t>Delantero</t>
  </si>
  <si>
    <t>Tipo de Refrigeración</t>
  </si>
  <si>
    <t>Bearings</t>
  </si>
  <si>
    <t>Drive End</t>
  </si>
  <si>
    <t>Cooling Mode</t>
  </si>
  <si>
    <t>Nº de polos</t>
  </si>
  <si>
    <t>Momento de inercia</t>
  </si>
  <si>
    <t>Peso Motor</t>
  </si>
  <si>
    <t>No of poles</t>
  </si>
  <si>
    <t>Rotor Inertia</t>
  </si>
  <si>
    <t>Motor Weight</t>
  </si>
  <si>
    <t>Protección</t>
  </si>
  <si>
    <t>Construcción</t>
  </si>
  <si>
    <t>IM B3</t>
  </si>
  <si>
    <t>standard</t>
  </si>
  <si>
    <t>Equilibrado grado</t>
  </si>
  <si>
    <t>A</t>
  </si>
  <si>
    <r>
      <t xml:space="preserve">Corriente / </t>
    </r>
    <r>
      <rPr>
        <i/>
        <sz val="12"/>
        <rFont val="Arial Narrow"/>
        <family val="2"/>
      </rPr>
      <t>Current</t>
    </r>
  </si>
  <si>
    <t>Protection Degree</t>
  </si>
  <si>
    <t>Mounting</t>
  </si>
  <si>
    <t>IM B35</t>
  </si>
  <si>
    <t>on request</t>
  </si>
  <si>
    <t>Balancing degree</t>
  </si>
  <si>
    <r>
      <t xml:space="preserve">Velocidad / </t>
    </r>
    <r>
      <rPr>
        <i/>
        <sz val="12"/>
        <rFont val="Arial Narrow"/>
        <family val="2"/>
      </rPr>
      <t>Speed</t>
    </r>
  </si>
  <si>
    <t xml:space="preserve">Nivel de ruido </t>
  </si>
  <si>
    <t>Velocidad máxima mecánica</t>
  </si>
  <si>
    <t xml:space="preserve">Noise Level </t>
  </si>
  <si>
    <r>
      <t>Max. Mechanical Speed</t>
    </r>
    <r>
      <rPr>
        <sz val="10"/>
        <rFont val="Arial"/>
        <family val="2"/>
      </rPr>
      <t/>
    </r>
  </si>
  <si>
    <t>Aislamiento</t>
  </si>
  <si>
    <t>Cl. H</t>
  </si>
  <si>
    <t xml:space="preserve">Incremento Temperatura </t>
  </si>
  <si>
    <t>Cl. F</t>
  </si>
  <si>
    <t>Termómetros</t>
  </si>
  <si>
    <t>3xPt100</t>
  </si>
  <si>
    <r>
      <t xml:space="preserve">Por favor, indicar en los pedidos la alimentación deseada para el ventilador / </t>
    </r>
    <r>
      <rPr>
        <i/>
        <sz val="10.5"/>
        <rFont val="Arial Narrow"/>
        <family val="2"/>
      </rPr>
      <t>Please indicate the required fan supply voltage when placing your order</t>
    </r>
  </si>
  <si>
    <t>Insulation</t>
  </si>
  <si>
    <t>Temperature Rise</t>
  </si>
  <si>
    <t>Thermometers</t>
  </si>
  <si>
    <t>Ambiente</t>
  </si>
  <si>
    <t>&lt; 40 ºC  &lt; 1000 m</t>
  </si>
  <si>
    <t>Conmutación Variador</t>
  </si>
  <si>
    <t>4 kHz ; IVIC  C/B acc. EN60034-25</t>
  </si>
  <si>
    <t>Ambient</t>
  </si>
  <si>
    <t>Inverter Switching</t>
  </si>
  <si>
    <t>Normas de referencia</t>
  </si>
  <si>
    <t>EN60034</t>
  </si>
  <si>
    <t>Freno de Bloqueo (opcional)</t>
  </si>
  <si>
    <t>24 Vdc</t>
  </si>
  <si>
    <t>Reference Standards</t>
  </si>
  <si>
    <t>Holding Brake (optional)</t>
  </si>
  <si>
    <t xml:space="preserve">Tensión de Base del Motor </t>
  </si>
  <si>
    <t>Vb ± 5%</t>
  </si>
  <si>
    <t>Tensión Máxima de Salida del Convertidor</t>
  </si>
  <si>
    <t>Vc</t>
  </si>
  <si>
    <t>Motor Base Voltage</t>
  </si>
  <si>
    <t>Inverter max. Output Voltage</t>
  </si>
  <si>
    <t>Servicio / Service</t>
  </si>
  <si>
    <t>S1</t>
  </si>
  <si>
    <t>Servicio / Service  S6 -</t>
  </si>
  <si>
    <t>Bobinado          Winding</t>
  </si>
  <si>
    <t>Nm</t>
  </si>
  <si>
    <t>A ± 2%</t>
  </si>
  <si>
    <t>KW</t>
  </si>
  <si>
    <t>rpm</t>
  </si>
  <si>
    <t>Hz</t>
  </si>
  <si>
    <t>Velocidad a Pot.Cte Const. Power Speed. (rpm)</t>
  </si>
  <si>
    <t>A ± 5%</t>
  </si>
  <si>
    <t>Corriente en vacio       No Load Current          (A)</t>
  </si>
  <si>
    <t>eff</t>
  </si>
  <si>
    <t>cos fi</t>
  </si>
  <si>
    <t>rpm llisc.</t>
  </si>
  <si>
    <t>Nm S6</t>
  </si>
  <si>
    <t>A S6</t>
  </si>
  <si>
    <t>Alim</t>
  </si>
  <si>
    <t>Nm lim</t>
  </si>
  <si>
    <t>rpm lim</t>
  </si>
  <si>
    <t>KW lim</t>
  </si>
  <si>
    <t>rpm lim KW s6</t>
  </si>
  <si>
    <t>rpm lim Nm s6</t>
  </si>
  <si>
    <t>rpm lim s1</t>
  </si>
  <si>
    <r>
      <t xml:space="preserve">Otras Velocidades disponibles bajo consulta / </t>
    </r>
    <r>
      <rPr>
        <i/>
        <sz val="11"/>
        <rFont val="Arial Narrow"/>
        <family val="2"/>
      </rPr>
      <t>Other speeds available on request</t>
    </r>
  </si>
  <si>
    <r>
      <t xml:space="preserve">La tensión para el servicio S6 es mayor que Vb / </t>
    </r>
    <r>
      <rPr>
        <i/>
        <sz val="11"/>
        <rFont val="Arial Narrow"/>
        <family val="2"/>
      </rPr>
      <t>Voltage for S6 duty is bigger than Vb</t>
    </r>
  </si>
  <si>
    <t>Elabora:</t>
  </si>
  <si>
    <t>Revisa:</t>
  </si>
  <si>
    <t>Aprueba:</t>
  </si>
  <si>
    <t xml:space="preserve"> - Hoja de Curvas Características Modo Motor -</t>
  </si>
  <si>
    <t xml:space="preserve">Página </t>
  </si>
  <si>
    <t>2 de 3</t>
  </si>
  <si>
    <t xml:space="preserve"> - Driving Mode Power and Torque Diagrams -</t>
  </si>
  <si>
    <r>
      <t xml:space="preserve">Bobinado           </t>
    </r>
    <r>
      <rPr>
        <i/>
        <sz val="12"/>
        <rFont val="Arial Narrow"/>
        <family val="2"/>
      </rPr>
      <t>Winding</t>
    </r>
  </si>
  <si>
    <t>Carga / Load</t>
  </si>
  <si>
    <t>Nm 1</t>
  </si>
  <si>
    <t>Nm 2</t>
  </si>
  <si>
    <t>rpm S1</t>
  </si>
  <si>
    <t>Nm S1</t>
  </si>
  <si>
    <t>rpm S6</t>
  </si>
  <si>
    <t>kW S6</t>
  </si>
  <si>
    <t>rpm limit</t>
  </si>
  <si>
    <t>KW limit</t>
  </si>
  <si>
    <t>Nm Limit</t>
  </si>
  <si>
    <t>KW 1</t>
  </si>
  <si>
    <t>KW 2</t>
  </si>
  <si>
    <t xml:space="preserve"> - Placa de Características en Modo Motor-</t>
  </si>
  <si>
    <t>3 de 3</t>
  </si>
  <si>
    <t xml:space="preserve"> - Driving Mode Nameplate -</t>
  </si>
  <si>
    <t>Pole</t>
  </si>
  <si>
    <t>Nr:</t>
  </si>
  <si>
    <t>DATE</t>
  </si>
  <si>
    <t>Pn</t>
  </si>
  <si>
    <t>kW</t>
  </si>
  <si>
    <t>Mn</t>
  </si>
  <si>
    <t>Un</t>
  </si>
  <si>
    <t>V</t>
  </si>
  <si>
    <t>Fn</t>
  </si>
  <si>
    <t>In</t>
  </si>
  <si>
    <t>Cos fi</t>
  </si>
  <si>
    <t>Eff.</t>
  </si>
  <si>
    <t>Nn</t>
  </si>
  <si>
    <t>Nmax</t>
  </si>
  <si>
    <t>FAN</t>
  </si>
  <si>
    <t>BRAKE</t>
  </si>
  <si>
    <t>Vdc</t>
  </si>
  <si>
    <t>MADE IN SPAIN</t>
  </si>
  <si>
    <t>Fecha - Date</t>
  </si>
  <si>
    <t>Poles</t>
  </si>
  <si>
    <t>Rend / eff.</t>
  </si>
  <si>
    <t>J (Kg m2)</t>
  </si>
  <si>
    <t>Rs (mOhm)</t>
  </si>
  <si>
    <t>Rr (mOhm)</t>
  </si>
  <si>
    <t>Rfe (Ohm)</t>
  </si>
  <si>
    <t>Ls (mH)</t>
  </si>
  <si>
    <t>Lr (mH)</t>
  </si>
  <si>
    <t>Lm (mH)</t>
  </si>
  <si>
    <t>Ts (s)</t>
  </si>
  <si>
    <t>Tr (s)</t>
  </si>
  <si>
    <t>Kt</t>
  </si>
  <si>
    <t>Im (A/fase)</t>
  </si>
  <si>
    <t>s rpm</t>
  </si>
  <si>
    <t>MODO GENERADOR a fnom</t>
  </si>
  <si>
    <t>E</t>
  </si>
  <si>
    <t>urq</t>
  </si>
  <si>
    <t>urd</t>
  </si>
  <si>
    <t>exd</t>
  </si>
  <si>
    <t>exq</t>
  </si>
  <si>
    <t>Vq</t>
  </si>
  <si>
    <t>Vd</t>
  </si>
  <si>
    <t>Correcció a</t>
  </si>
  <si>
    <t>Hz gen</t>
  </si>
  <si>
    <t>Hz gen adoptat</t>
  </si>
  <si>
    <t>rpm gen</t>
  </si>
  <si>
    <t>Nm gen</t>
  </si>
  <si>
    <t>KW abs</t>
  </si>
  <si>
    <t>KW perd.</t>
  </si>
  <si>
    <t>KW out</t>
  </si>
  <si>
    <t>eff gen.</t>
  </si>
  <si>
    <t>Cos fi gen</t>
  </si>
  <si>
    <t xml:space="preserve"> - Hoja de Datos Técnicos Modo Generador -</t>
  </si>
  <si>
    <t xml:space="preserve"> - Absorbing Mode Technical Datasheet -</t>
  </si>
  <si>
    <t xml:space="preserve"> - Hoja de Curvas Características Modo Generador-</t>
  </si>
  <si>
    <t xml:space="preserve"> - Absorbing Mode Power and Torque Diagrams -</t>
  </si>
  <si>
    <t>abs.</t>
  </si>
  <si>
    <r>
      <t>Parámetros modo generador /</t>
    </r>
    <r>
      <rPr>
        <b/>
        <i/>
        <sz val="14"/>
        <rFont val="Arial Narrow"/>
        <family val="2"/>
      </rPr>
      <t xml:space="preserve"> Absorbing mode parameters</t>
    </r>
  </si>
  <si>
    <t>ESQUEMA EQUIVALENTE POR FASE EN ESTRELLA / PHASE STAR EQUIVALENT SCHEMA</t>
  </si>
  <si>
    <t>L/min</t>
  </si>
  <si>
    <t>Corba parell-velocitat a Nnom</t>
  </si>
  <si>
    <t>diagrama vectorial</t>
  </si>
  <si>
    <t>V/f</t>
  </si>
  <si>
    <t>f</t>
  </si>
  <si>
    <t>s pu</t>
  </si>
  <si>
    <t>Kweix</t>
  </si>
  <si>
    <t>Meix</t>
  </si>
  <si>
    <t>Im</t>
  </si>
  <si>
    <t>Ir</t>
  </si>
  <si>
    <t>is</t>
  </si>
  <si>
    <t>Rs Im</t>
  </si>
  <si>
    <t>Rs Ir</t>
  </si>
  <si>
    <t>Rs Is</t>
  </si>
  <si>
    <t>w Ls Im</t>
  </si>
  <si>
    <t>w Ls Ir</t>
  </si>
  <si>
    <t>w Ls Is</t>
  </si>
  <si>
    <t>Vs (m)</t>
  </si>
  <si>
    <t xml:space="preserve">Vs (r) </t>
  </si>
  <si>
    <t>Vs</t>
  </si>
  <si>
    <t>Vs (f-f)</t>
  </si>
  <si>
    <t>eix m</t>
  </si>
  <si>
    <t>eix r</t>
  </si>
  <si>
    <t>Nominal</t>
  </si>
  <si>
    <t>Rs im</t>
  </si>
  <si>
    <t>wLs Ir</t>
  </si>
  <si>
    <t>wLs Im</t>
  </si>
  <si>
    <t>concentrada a l'estator</t>
  </si>
  <si>
    <t>maxim</t>
  </si>
  <si>
    <t>Limit 480V</t>
  </si>
  <si>
    <t>Ir (A)</t>
  </si>
  <si>
    <t>s Hz</t>
  </si>
  <si>
    <t>limit PC</t>
  </si>
  <si>
    <t>Corba parell-velocitat a N1</t>
  </si>
  <si>
    <t>corba a pnom</t>
  </si>
  <si>
    <t>,</t>
  </si>
  <si>
    <t xml:space="preserve"> - Placa de Características en Modo Generador-</t>
  </si>
  <si>
    <t xml:space="preserve"> - Absorbing Mode Nameplate -</t>
  </si>
  <si>
    <t>Trasero</t>
  </si>
  <si>
    <t>Non Drive End</t>
  </si>
  <si>
    <t xml:space="preserve">Nnom x </t>
  </si>
  <si>
    <t>Speed range</t>
  </si>
  <si>
    <t>Termistor</t>
  </si>
  <si>
    <t>Thermistor</t>
  </si>
  <si>
    <t>50 Hz</t>
  </si>
  <si>
    <t>60 Hz</t>
  </si>
  <si>
    <t>IC 416</t>
  </si>
  <si>
    <r>
      <t xml:space="preserve">Tensión / </t>
    </r>
    <r>
      <rPr>
        <i/>
        <sz val="12"/>
        <rFont val="Arial Narrow"/>
        <family val="2"/>
      </rPr>
      <t>Voltage</t>
    </r>
  </si>
  <si>
    <r>
      <t xml:space="preserve">Frec. / </t>
    </r>
    <r>
      <rPr>
        <i/>
        <sz val="12"/>
        <rFont val="Arial Narrow"/>
        <family val="2"/>
      </rPr>
      <t>Frequency</t>
    </r>
  </si>
  <si>
    <t>IP 54</t>
  </si>
  <si>
    <t>3 x 400 V</t>
  </si>
  <si>
    <t>3 x 460 V</t>
  </si>
  <si>
    <t>Coef</t>
  </si>
  <si>
    <t>coef.</t>
  </si>
  <si>
    <t>KW eix</t>
  </si>
  <si>
    <t>coef</t>
  </si>
  <si>
    <t>MAC QE 200 P</t>
  </si>
  <si>
    <t>A61</t>
  </si>
  <si>
    <t>B61</t>
  </si>
  <si>
    <t>C61</t>
  </si>
  <si>
    <t>D61</t>
  </si>
  <si>
    <t>E61</t>
  </si>
  <si>
    <t>F61</t>
  </si>
  <si>
    <t>G61</t>
  </si>
  <si>
    <t>H61</t>
  </si>
  <si>
    <t>E62</t>
  </si>
  <si>
    <t>F62</t>
  </si>
  <si>
    <t>DT-QE 200 P</t>
  </si>
  <si>
    <t>06</t>
  </si>
  <si>
    <t>6316 ZZ C3</t>
  </si>
  <si>
    <t>6312 ZZ C3</t>
  </si>
  <si>
    <t>&lt; 87 dB</t>
  </si>
  <si>
    <t>300 Nm</t>
  </si>
  <si>
    <t>2.5 A</t>
  </si>
  <si>
    <t>60 W</t>
  </si>
  <si>
    <t>18 Kg</t>
  </si>
  <si>
    <r>
      <t>J = 0.0017 Kg m</t>
    </r>
    <r>
      <rPr>
        <vertAlign val="superscript"/>
        <sz val="14"/>
        <rFont val="Arial Narrow"/>
        <family val="2"/>
      </rPr>
      <t>2</t>
    </r>
  </si>
  <si>
    <t>PTC155º C</t>
  </si>
  <si>
    <t>2,6 A</t>
  </si>
  <si>
    <t>2835 rpm</t>
  </si>
  <si>
    <t>3400 rpm</t>
  </si>
  <si>
    <t>Parámetros modo motor / Driving mode parameters</t>
  </si>
  <si>
    <t>kW 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</si>
</sst>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0.000"/>
    <numFmt numFmtId="165" formatCode="0.0"/>
    <numFmt numFmtId="166" formatCode="0.00000"/>
    <numFmt numFmtId="167" formatCode="#####\ &quot;rpm&quot;"/>
    <numFmt numFmtId="168" formatCode="0\ \V"/>
    <numFmt numFmtId="169" formatCode="0.00_ ;[Red]\-0.00\ "/>
    <numFmt numFmtId="170" formatCode="0.0%"/>
    <numFmt numFmtId="171" formatCode="dd\-mm\-yy"/>
    <numFmt numFmtId="172" formatCode="0\ &quot;Kg&quot;"/>
    <numFmt numFmtId="173" formatCode="&quot;J= &quot;0.000\ &quot;Kg m2&quot;"/>
    <numFmt numFmtId="174" formatCode="00\ &quot;Hz&quot;"/>
  </numFmts>
  <fonts count="75">
    <font>
      <sz val="10"/>
      <name val="Arial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6"/>
      <name val="Arial Narrow"/>
      <family val="2"/>
    </font>
    <font>
      <sz val="12"/>
      <name val="Arial Narrow"/>
      <family val="2"/>
    </font>
    <font>
      <sz val="22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sz val="12"/>
      <name val="Arial"/>
      <family val="2"/>
    </font>
    <font>
      <sz val="12"/>
      <color indexed="8"/>
      <name val="Arial Narrow"/>
      <family val="2"/>
    </font>
    <font>
      <sz val="12"/>
      <name val="Arial"/>
      <family val="2"/>
    </font>
    <font>
      <sz val="10"/>
      <name val="Arial"/>
      <family val="2"/>
    </font>
    <font>
      <sz val="12"/>
      <color indexed="9"/>
      <name val="Arial Narrow"/>
      <family val="2"/>
    </font>
    <font>
      <sz val="10"/>
      <color indexed="9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sz val="22"/>
      <name val="Arial"/>
      <family val="2"/>
    </font>
    <font>
      <sz val="8"/>
      <name val="Arial"/>
      <family val="2"/>
    </font>
    <font>
      <sz val="12"/>
      <color indexed="10"/>
      <name val="Arial Narrow"/>
      <family val="2"/>
    </font>
    <font>
      <i/>
      <sz val="12"/>
      <name val="Arial Narrow"/>
      <family val="2"/>
    </font>
    <font>
      <sz val="11"/>
      <name val="Arial Narrow"/>
      <family val="2"/>
    </font>
    <font>
      <b/>
      <i/>
      <sz val="12"/>
      <name val="Arial Narrow"/>
      <family val="2"/>
    </font>
    <font>
      <sz val="10.5"/>
      <name val="Arial Narrow"/>
      <family val="2"/>
    </font>
    <font>
      <i/>
      <sz val="10.5"/>
      <name val="Arial Narrow"/>
      <family val="2"/>
    </font>
    <font>
      <vertAlign val="superscript"/>
      <sz val="14"/>
      <name val="Arial Narrow"/>
      <family val="2"/>
    </font>
    <font>
      <sz val="16"/>
      <name val="Arial Narrow"/>
      <family val="2"/>
    </font>
    <font>
      <b/>
      <i/>
      <sz val="14"/>
      <color indexed="10"/>
      <name val="Arial Narrow"/>
      <family val="2"/>
    </font>
    <font>
      <sz val="14"/>
      <color indexed="10"/>
      <name val="Arial Narrow"/>
      <family val="2"/>
    </font>
    <font>
      <i/>
      <sz val="11"/>
      <name val="Arial Narrow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3"/>
      <color indexed="10"/>
      <name val="Arial Narrow"/>
      <family val="2"/>
    </font>
    <font>
      <sz val="48"/>
      <name val="Arial"/>
      <family val="2"/>
    </font>
    <font>
      <sz val="16"/>
      <name val="Arial"/>
      <family val="2"/>
    </font>
    <font>
      <sz val="12"/>
      <color indexed="9"/>
      <name val="Arial"/>
      <family val="2"/>
    </font>
    <font>
      <sz val="22"/>
      <name val="Calibri"/>
      <family val="2"/>
    </font>
    <font>
      <sz val="14"/>
      <color indexed="81"/>
      <name val="Arial Narrow"/>
      <family val="2"/>
    </font>
    <font>
      <b/>
      <sz val="14"/>
      <color indexed="81"/>
      <name val="Arial Narrow"/>
      <family val="2"/>
    </font>
    <font>
      <b/>
      <i/>
      <sz val="14"/>
      <color indexed="81"/>
      <name val="Arial Narrow"/>
      <family val="2"/>
    </font>
    <font>
      <i/>
      <sz val="14"/>
      <color indexed="81"/>
      <name val="Arial Narrow"/>
      <family val="2"/>
    </font>
    <font>
      <sz val="12"/>
      <color indexed="81"/>
      <name val="Tahoma"/>
      <family val="2"/>
    </font>
    <font>
      <i/>
      <sz val="12"/>
      <color indexed="81"/>
      <name val="Tahoma"/>
      <family val="2"/>
    </font>
    <font>
      <b/>
      <i/>
      <sz val="14"/>
      <name val="Arial Narrow"/>
      <family val="2"/>
    </font>
    <font>
      <sz val="11"/>
      <color theme="1"/>
      <name val="Calibri"/>
      <family val="2"/>
      <scheme val="minor"/>
    </font>
    <font>
      <sz val="12"/>
      <color rgb="FFFF0000"/>
      <name val="Arial Narrow"/>
      <family val="2"/>
    </font>
    <font>
      <sz val="12"/>
      <color theme="0"/>
      <name val="Arial Narrow"/>
      <family val="2"/>
    </font>
    <font>
      <sz val="10"/>
      <color theme="0"/>
      <name val="Arial"/>
      <family val="2"/>
    </font>
    <font>
      <sz val="28"/>
      <color theme="0"/>
      <name val="Calibri"/>
      <family val="2"/>
      <scheme val="minor"/>
    </font>
    <font>
      <sz val="20"/>
      <name val="Calibri"/>
      <family val="2"/>
      <scheme val="minor"/>
    </font>
    <font>
      <sz val="20"/>
      <color theme="0"/>
      <name val="Calibri"/>
      <family val="2"/>
      <scheme val="minor"/>
    </font>
    <font>
      <sz val="12"/>
      <color theme="0"/>
      <name val="Arial"/>
      <family val="2"/>
    </font>
    <font>
      <sz val="22"/>
      <color theme="0"/>
      <name val="Athens Greek"/>
    </font>
    <font>
      <sz val="24"/>
      <color theme="0"/>
      <name val="Calibri"/>
      <family val="2"/>
      <scheme val="minor"/>
    </font>
    <font>
      <sz val="20"/>
      <color theme="0"/>
      <name val="Calibri"/>
      <family val="2"/>
    </font>
    <font>
      <sz val="10"/>
      <color rgb="FFFF0000"/>
      <name val="Arial"/>
      <family val="2"/>
    </font>
    <font>
      <sz val="10"/>
      <color rgb="FFFF0000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"/>
      <family val="2"/>
    </font>
    <font>
      <b/>
      <sz val="12"/>
      <color theme="0"/>
      <name val="Arial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color theme="0"/>
      <name val="Arial Narrow"/>
      <family val="2"/>
    </font>
    <font>
      <b/>
      <sz val="12"/>
      <color rgb="FFFF0000"/>
      <name val="Arial Narrow"/>
      <family val="2"/>
    </font>
    <font>
      <sz val="12"/>
      <color rgb="FFFF0000"/>
      <name val="Arial"/>
      <family val="2"/>
    </font>
    <font>
      <sz val="22"/>
      <color theme="0"/>
      <name val="Calibri"/>
      <family val="2"/>
      <scheme val="minor"/>
    </font>
    <font>
      <sz val="24"/>
      <color theme="0"/>
      <name val="Calibri"/>
      <family val="2"/>
    </font>
    <font>
      <sz val="14"/>
      <color theme="0"/>
      <name val="Arial Narrow"/>
      <family val="2"/>
    </font>
    <font>
      <i/>
      <sz val="12"/>
      <color rgb="FFFF0000"/>
      <name val="Arial Narrow"/>
      <family val="2"/>
    </font>
    <font>
      <sz val="26"/>
      <color theme="0"/>
      <name val="Calibri"/>
      <family val="2"/>
      <scheme val="minor"/>
    </font>
    <font>
      <sz val="22"/>
      <color theme="0"/>
      <name val="Calibri"/>
      <family val="2"/>
    </font>
    <font>
      <sz val="12"/>
      <color theme="5"/>
      <name val="Arial Narrow"/>
      <family val="2"/>
    </font>
    <font>
      <b/>
      <sz val="12"/>
      <color theme="5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n">
        <color indexed="64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/>
      <top style="thick">
        <color theme="0"/>
      </top>
      <bottom style="thick">
        <color theme="0"/>
      </bottom>
      <diagonal/>
    </border>
  </borders>
  <cellStyleXfs count="3">
    <xf numFmtId="0" fontId="0" fillId="0" borderId="0"/>
    <xf numFmtId="0" fontId="12" fillId="0" borderId="0"/>
    <xf numFmtId="0" fontId="44" fillId="0" borderId="0"/>
  </cellStyleXfs>
  <cellXfs count="688">
    <xf numFmtId="0" fontId="0" fillId="0" borderId="0" xfId="0"/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164" fontId="0" fillId="2" borderId="0" xfId="0" applyNumberFormat="1" applyFill="1"/>
    <xf numFmtId="164" fontId="2" fillId="2" borderId="4" xfId="0" applyNumberFormat="1" applyFont="1" applyFill="1" applyBorder="1"/>
    <xf numFmtId="164" fontId="3" fillId="2" borderId="4" xfId="0" applyNumberFormat="1" applyFont="1" applyFill="1" applyBorder="1" applyAlignment="1">
      <alignment horizontal="center"/>
    </xf>
    <xf numFmtId="164" fontId="4" fillId="2" borderId="0" xfId="0" applyNumberFormat="1" applyFont="1" applyFill="1" applyAlignment="1">
      <alignment horizontal="left"/>
    </xf>
    <xf numFmtId="164" fontId="4" fillId="2" borderId="5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right"/>
    </xf>
    <xf numFmtId="49" fontId="4" fillId="2" borderId="5" xfId="0" applyNumberFormat="1" applyFont="1" applyFill="1" applyBorder="1" applyAlignment="1">
      <alignment horizontal="center"/>
    </xf>
    <xf numFmtId="164" fontId="6" fillId="2" borderId="4" xfId="0" applyNumberFormat="1" applyFont="1" applyFill="1" applyBorder="1" applyAlignment="1">
      <alignment horizontal="center"/>
    </xf>
    <xf numFmtId="14" fontId="4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/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/>
    <xf numFmtId="164" fontId="7" fillId="4" borderId="9" xfId="0" applyNumberFormat="1" applyFont="1" applyFill="1" applyBorder="1" applyAlignment="1">
      <alignment horizontal="right"/>
    </xf>
    <xf numFmtId="164" fontId="8" fillId="2" borderId="10" xfId="0" applyNumberFormat="1" applyFont="1" applyFill="1" applyBorder="1"/>
    <xf numFmtId="164" fontId="8" fillId="2" borderId="11" xfId="0" applyNumberFormat="1" applyFont="1" applyFill="1" applyBorder="1" applyAlignment="1">
      <alignment horizontal="right"/>
    </xf>
    <xf numFmtId="164" fontId="9" fillId="2" borderId="0" xfId="0" applyNumberFormat="1" applyFont="1" applyFill="1"/>
    <xf numFmtId="164" fontId="8" fillId="2" borderId="12" xfId="0" applyNumberFormat="1" applyFont="1" applyFill="1" applyBorder="1"/>
    <xf numFmtId="164" fontId="8" fillId="2" borderId="13" xfId="0" applyNumberFormat="1" applyFont="1" applyFill="1" applyBorder="1" applyAlignment="1">
      <alignment horizontal="right"/>
    </xf>
    <xf numFmtId="164" fontId="9" fillId="2" borderId="9" xfId="0" applyNumberFormat="1" applyFont="1" applyFill="1" applyBorder="1"/>
    <xf numFmtId="164" fontId="8" fillId="2" borderId="14" xfId="0" applyNumberFormat="1" applyFont="1" applyFill="1" applyBorder="1"/>
    <xf numFmtId="1" fontId="8" fillId="5" borderId="15" xfId="0" applyNumberFormat="1" applyFont="1" applyFill="1" applyBorder="1" applyAlignment="1">
      <alignment horizontal="right"/>
    </xf>
    <xf numFmtId="164" fontId="4" fillId="2" borderId="10" xfId="0" applyNumberFormat="1" applyFont="1" applyFill="1" applyBorder="1"/>
    <xf numFmtId="1" fontId="10" fillId="5" borderId="11" xfId="0" applyNumberFormat="1" applyFont="1" applyFill="1" applyBorder="1" applyAlignment="1">
      <alignment horizontal="right"/>
    </xf>
    <xf numFmtId="164" fontId="11" fillId="2" borderId="16" xfId="0" applyNumberFormat="1" applyFont="1" applyFill="1" applyBorder="1"/>
    <xf numFmtId="164" fontId="4" fillId="2" borderId="14" xfId="0" applyNumberFormat="1" applyFont="1" applyFill="1" applyBorder="1"/>
    <xf numFmtId="1" fontId="10" fillId="5" borderId="15" xfId="0" applyNumberFormat="1" applyFont="1" applyFill="1" applyBorder="1" applyAlignment="1">
      <alignment horizontal="right"/>
    </xf>
    <xf numFmtId="164" fontId="11" fillId="2" borderId="0" xfId="0" applyNumberFormat="1" applyFont="1" applyFill="1"/>
    <xf numFmtId="165" fontId="4" fillId="2" borderId="12" xfId="0" applyNumberFormat="1" applyFont="1" applyFill="1" applyBorder="1"/>
    <xf numFmtId="165" fontId="10" fillId="5" borderId="13" xfId="0" applyNumberFormat="1" applyFont="1" applyFill="1" applyBorder="1" applyAlignment="1">
      <alignment horizontal="right"/>
    </xf>
    <xf numFmtId="165" fontId="11" fillId="2" borderId="9" xfId="0" applyNumberFormat="1" applyFont="1" applyFill="1" applyBorder="1"/>
    <xf numFmtId="165" fontId="4" fillId="2" borderId="14" xfId="0" applyNumberFormat="1" applyFont="1" applyFill="1" applyBorder="1"/>
    <xf numFmtId="165" fontId="10" fillId="5" borderId="15" xfId="0" applyNumberFormat="1" applyFont="1" applyFill="1" applyBorder="1" applyAlignment="1">
      <alignment horizontal="right"/>
    </xf>
    <xf numFmtId="165" fontId="11" fillId="2" borderId="0" xfId="0" applyNumberFormat="1" applyFont="1" applyFill="1"/>
    <xf numFmtId="2" fontId="10" fillId="5" borderId="15" xfId="0" applyNumberFormat="1" applyFont="1" applyFill="1" applyBorder="1" applyAlignment="1">
      <alignment horizontal="right"/>
    </xf>
    <xf numFmtId="2" fontId="45" fillId="5" borderId="15" xfId="0" applyNumberFormat="1" applyFont="1" applyFill="1" applyBorder="1" applyAlignment="1">
      <alignment horizontal="right"/>
    </xf>
    <xf numFmtId="164" fontId="4" fillId="2" borderId="12" xfId="0" applyNumberFormat="1" applyFont="1" applyFill="1" applyBorder="1"/>
    <xf numFmtId="2" fontId="10" fillId="5" borderId="13" xfId="0" applyNumberFormat="1" applyFont="1" applyFill="1" applyBorder="1" applyAlignment="1">
      <alignment horizontal="right"/>
    </xf>
    <xf numFmtId="164" fontId="11" fillId="2" borderId="9" xfId="0" applyNumberFormat="1" applyFont="1" applyFill="1" applyBorder="1"/>
    <xf numFmtId="164" fontId="4" fillId="2" borderId="17" xfId="0" applyNumberFormat="1" applyFont="1" applyFill="1" applyBorder="1"/>
    <xf numFmtId="164" fontId="10" fillId="5" borderId="18" xfId="0" applyNumberFormat="1" applyFont="1" applyFill="1" applyBorder="1" applyAlignment="1">
      <alignment horizontal="right"/>
    </xf>
    <xf numFmtId="164" fontId="11" fillId="2" borderId="19" xfId="0" applyNumberFormat="1" applyFont="1" applyFill="1" applyBorder="1"/>
    <xf numFmtId="164" fontId="10" fillId="5" borderId="15" xfId="0" applyNumberFormat="1" applyFont="1" applyFill="1" applyBorder="1" applyAlignment="1">
      <alignment horizontal="right"/>
    </xf>
    <xf numFmtId="164" fontId="8" fillId="5" borderId="11" xfId="0" applyNumberFormat="1" applyFont="1" applyFill="1" applyBorder="1" applyAlignment="1">
      <alignment horizontal="right"/>
    </xf>
    <xf numFmtId="164" fontId="8" fillId="5" borderId="13" xfId="0" applyNumberFormat="1" applyFont="1" applyFill="1" applyBorder="1" applyAlignment="1">
      <alignment horizontal="right"/>
    </xf>
    <xf numFmtId="164" fontId="4" fillId="2" borderId="11" xfId="0" applyNumberFormat="1" applyFont="1" applyFill="1" applyBorder="1"/>
    <xf numFmtId="2" fontId="4" fillId="5" borderId="20" xfId="0" applyNumberFormat="1" applyFont="1" applyFill="1" applyBorder="1" applyAlignment="1">
      <alignment horizontal="right"/>
    </xf>
    <xf numFmtId="164" fontId="4" fillId="2" borderId="15" xfId="0" applyNumberFormat="1" applyFont="1" applyFill="1" applyBorder="1"/>
    <xf numFmtId="2" fontId="4" fillId="5" borderId="15" xfId="0" applyNumberFormat="1" applyFont="1" applyFill="1" applyBorder="1" applyAlignment="1">
      <alignment horizontal="right"/>
    </xf>
    <xf numFmtId="164" fontId="4" fillId="2" borderId="13" xfId="0" applyNumberFormat="1" applyFont="1" applyFill="1" applyBorder="1"/>
    <xf numFmtId="165" fontId="4" fillId="2" borderId="17" xfId="0" applyNumberFormat="1" applyFont="1" applyFill="1" applyBorder="1"/>
    <xf numFmtId="165" fontId="4" fillId="5" borderId="18" xfId="0" applyNumberFormat="1" applyFont="1" applyFill="1" applyBorder="1" applyAlignment="1">
      <alignment horizontal="right"/>
    </xf>
    <xf numFmtId="165" fontId="11" fillId="2" borderId="19" xfId="0" applyNumberFormat="1" applyFont="1" applyFill="1" applyBorder="1"/>
    <xf numFmtId="164" fontId="12" fillId="2" borderId="18" xfId="1" applyNumberFormat="1" applyFill="1" applyBorder="1"/>
    <xf numFmtId="165" fontId="4" fillId="2" borderId="18" xfId="1" applyNumberFormat="1" applyFont="1" applyFill="1" applyBorder="1" applyAlignment="1">
      <alignment horizontal="right" vertical="center"/>
    </xf>
    <xf numFmtId="165" fontId="45" fillId="2" borderId="18" xfId="1" applyNumberFormat="1" applyFont="1" applyFill="1" applyBorder="1" applyAlignment="1">
      <alignment horizontal="right" vertical="center"/>
    </xf>
    <xf numFmtId="164" fontId="2" fillId="2" borderId="0" xfId="0" applyNumberFormat="1" applyFont="1" applyFill="1"/>
    <xf numFmtId="166" fontId="2" fillId="2" borderId="15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0" fontId="12" fillId="2" borderId="1" xfId="1" applyFill="1" applyBorder="1" applyAlignment="1">
      <alignment horizontal="right"/>
    </xf>
    <xf numFmtId="0" fontId="12" fillId="2" borderId="2" xfId="1" applyFill="1" applyBorder="1" applyAlignment="1">
      <alignment horizontal="right"/>
    </xf>
    <xf numFmtId="0" fontId="12" fillId="2" borderId="3" xfId="1" applyFill="1" applyBorder="1" applyAlignment="1">
      <alignment horizontal="right"/>
    </xf>
    <xf numFmtId="165" fontId="4" fillId="2" borderId="1" xfId="1" applyNumberFormat="1" applyFont="1" applyFill="1" applyBorder="1" applyAlignment="1">
      <alignment horizontal="right"/>
    </xf>
    <xf numFmtId="165" fontId="4" fillId="2" borderId="2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left"/>
    </xf>
    <xf numFmtId="0" fontId="46" fillId="2" borderId="0" xfId="1" applyFont="1" applyFill="1" applyAlignment="1">
      <alignment horizontal="right"/>
    </xf>
    <xf numFmtId="0" fontId="13" fillId="2" borderId="0" xfId="1" applyFont="1" applyFill="1" applyAlignment="1">
      <alignment horizontal="right"/>
    </xf>
    <xf numFmtId="0" fontId="14" fillId="2" borderId="0" xfId="1" applyFont="1" applyFill="1" applyAlignment="1">
      <alignment horizontal="right"/>
    </xf>
    <xf numFmtId="0" fontId="12" fillId="2" borderId="0" xfId="1" applyFill="1" applyAlignment="1">
      <alignment horizontal="right"/>
    </xf>
    <xf numFmtId="0" fontId="12" fillId="2" borderId="4" xfId="1" applyFill="1" applyBorder="1" applyAlignment="1">
      <alignment horizontal="right"/>
    </xf>
    <xf numFmtId="0" fontId="12" fillId="2" borderId="5" xfId="1" applyFill="1" applyBorder="1" applyAlignment="1">
      <alignment horizontal="right"/>
    </xf>
    <xf numFmtId="0" fontId="4" fillId="2" borderId="0" xfId="1" applyFont="1" applyFill="1" applyAlignment="1">
      <alignment horizontal="left"/>
    </xf>
    <xf numFmtId="49" fontId="4" fillId="2" borderId="5" xfId="1" applyNumberFormat="1" applyFont="1" applyFill="1" applyBorder="1" applyAlignment="1">
      <alignment horizontal="center"/>
    </xf>
    <xf numFmtId="0" fontId="12" fillId="2" borderId="6" xfId="1" applyFill="1" applyBorder="1" applyAlignment="1">
      <alignment horizontal="right"/>
    </xf>
    <xf numFmtId="0" fontId="12" fillId="2" borderId="7" xfId="1" applyFill="1" applyBorder="1" applyAlignment="1">
      <alignment horizontal="right"/>
    </xf>
    <xf numFmtId="0" fontId="12" fillId="2" borderId="8" xfId="1" applyFill="1" applyBorder="1" applyAlignment="1">
      <alignment horizontal="right"/>
    </xf>
    <xf numFmtId="165" fontId="4" fillId="2" borderId="6" xfId="1" applyNumberFormat="1" applyFont="1" applyFill="1" applyBorder="1" applyAlignment="1">
      <alignment horizontal="right"/>
    </xf>
    <xf numFmtId="0" fontId="4" fillId="2" borderId="7" xfId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" fontId="4" fillId="2" borderId="7" xfId="1" applyNumberFormat="1" applyFont="1" applyFill="1" applyBorder="1" applyAlignment="1">
      <alignment horizontal="right"/>
    </xf>
    <xf numFmtId="0" fontId="4" fillId="2" borderId="8" xfId="1" applyFont="1" applyFill="1" applyBorder="1" applyAlignment="1">
      <alignment horizontal="right"/>
    </xf>
    <xf numFmtId="0" fontId="17" fillId="2" borderId="0" xfId="1" applyFont="1" applyFill="1" applyAlignment="1">
      <alignment horizontal="left"/>
    </xf>
    <xf numFmtId="165" fontId="12" fillId="2" borderId="0" xfId="1" applyNumberFormat="1" applyFill="1" applyAlignment="1">
      <alignment horizontal="right"/>
    </xf>
    <xf numFmtId="0" fontId="18" fillId="2" borderId="0" xfId="1" applyFont="1" applyFill="1" applyAlignment="1">
      <alignment horizontal="left"/>
    </xf>
    <xf numFmtId="0" fontId="12" fillId="2" borderId="0" xfId="1" applyFill="1" applyAlignment="1">
      <alignment horizontal="right" vertical="center"/>
    </xf>
    <xf numFmtId="165" fontId="12" fillId="2" borderId="0" xfId="1" applyNumberFormat="1" applyFill="1" applyAlignment="1">
      <alignment horizontal="left" vertical="center"/>
    </xf>
    <xf numFmtId="0" fontId="6" fillId="2" borderId="21" xfId="1" applyFont="1" applyFill="1" applyBorder="1" applyAlignment="1">
      <alignment vertical="center"/>
    </xf>
    <xf numFmtId="0" fontId="4" fillId="2" borderId="22" xfId="1" applyFont="1" applyFill="1" applyBorder="1" applyAlignment="1">
      <alignment horizontal="right" vertical="center"/>
    </xf>
    <xf numFmtId="0" fontId="4" fillId="2" borderId="23" xfId="1" applyFont="1" applyFill="1" applyBorder="1" applyAlignment="1">
      <alignment horizontal="right" vertical="center"/>
    </xf>
    <xf numFmtId="0" fontId="4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vertical="center"/>
    </xf>
    <xf numFmtId="0" fontId="4" fillId="2" borderId="2" xfId="1" applyFont="1" applyFill="1" applyBorder="1" applyAlignment="1">
      <alignment horizontal="right" vertical="center"/>
    </xf>
    <xf numFmtId="0" fontId="45" fillId="2" borderId="0" xfId="1" applyFont="1" applyFill="1" applyAlignment="1">
      <alignment horizontal="right" vertical="center"/>
    </xf>
    <xf numFmtId="0" fontId="46" fillId="2" borderId="0" xfId="1" applyFont="1" applyFill="1" applyAlignment="1">
      <alignment horizontal="right" vertical="center"/>
    </xf>
    <xf numFmtId="0" fontId="13" fillId="2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right" vertical="center"/>
    </xf>
    <xf numFmtId="0" fontId="4" fillId="2" borderId="1" xfId="1" applyFont="1" applyFill="1" applyBorder="1" applyAlignment="1">
      <alignment vertical="center"/>
    </xf>
    <xf numFmtId="0" fontId="20" fillId="2" borderId="7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center" vertical="center"/>
    </xf>
    <xf numFmtId="0" fontId="20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4" xfId="1" applyNumberFormat="1" applyFont="1" applyFill="1" applyBorder="1" applyAlignment="1">
      <alignment horizontal="left" vertical="center"/>
    </xf>
    <xf numFmtId="0" fontId="20" fillId="2" borderId="0" xfId="1" applyFont="1" applyFill="1" applyAlignment="1">
      <alignment horizontal="left" vertical="center"/>
    </xf>
    <xf numFmtId="0" fontId="4" fillId="2" borderId="7" xfId="1" applyFont="1" applyFill="1" applyBorder="1" applyAlignment="1">
      <alignment horizontal="right" vertical="center"/>
    </xf>
    <xf numFmtId="165" fontId="20" fillId="2" borderId="4" xfId="1" applyNumberFormat="1" applyFont="1" applyFill="1" applyBorder="1" applyAlignment="1">
      <alignment horizontal="left" vertical="center"/>
    </xf>
    <xf numFmtId="165" fontId="4" fillId="2" borderId="0" xfId="1" applyNumberFormat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1" fontId="4" fillId="2" borderId="2" xfId="1" applyNumberFormat="1" applyFont="1" applyFill="1" applyBorder="1" applyAlignment="1">
      <alignment horizontal="left" vertical="center"/>
    </xf>
    <xf numFmtId="1" fontId="4" fillId="2" borderId="2" xfId="1" applyNumberFormat="1" applyFont="1" applyFill="1" applyBorder="1" applyAlignment="1">
      <alignment horizontal="center" vertical="center"/>
    </xf>
    <xf numFmtId="1" fontId="4" fillId="2" borderId="1" xfId="1" applyNumberFormat="1" applyFont="1" applyFill="1" applyBorder="1" applyAlignment="1">
      <alignment horizontal="left" vertical="center"/>
    </xf>
    <xf numFmtId="1" fontId="8" fillId="2" borderId="2" xfId="1" applyNumberFormat="1" applyFont="1" applyFill="1" applyBorder="1" applyAlignment="1">
      <alignment horizontal="center" vertical="center"/>
    </xf>
    <xf numFmtId="1" fontId="22" fillId="2" borderId="3" xfId="1" applyNumberFormat="1" applyFont="1" applyFill="1" applyBorder="1" applyAlignment="1">
      <alignment horizontal="left" vertical="center"/>
    </xf>
    <xf numFmtId="1" fontId="20" fillId="2" borderId="7" xfId="1" applyNumberFormat="1" applyFont="1" applyFill="1" applyBorder="1" applyAlignment="1">
      <alignment horizontal="left" vertical="center"/>
    </xf>
    <xf numFmtId="1" fontId="4" fillId="2" borderId="7" xfId="1" applyNumberFormat="1" applyFont="1" applyFill="1" applyBorder="1" applyAlignment="1">
      <alignment horizontal="center" vertical="center"/>
    </xf>
    <xf numFmtId="1" fontId="20" fillId="2" borderId="6" xfId="1" applyNumberFormat="1" applyFont="1" applyFill="1" applyBorder="1" applyAlignment="1">
      <alignment horizontal="left" vertical="center"/>
    </xf>
    <xf numFmtId="1" fontId="20" fillId="2" borderId="8" xfId="1" applyNumberFormat="1" applyFont="1" applyFill="1" applyBorder="1" applyAlignment="1">
      <alignment horizontal="left" vertical="center"/>
    </xf>
    <xf numFmtId="0" fontId="20" fillId="2" borderId="4" xfId="1" applyFont="1" applyFill="1" applyBorder="1" applyAlignment="1">
      <alignment horizontal="left" vertical="center"/>
    </xf>
    <xf numFmtId="165" fontId="4" fillId="2" borderId="0" xfId="1" applyNumberFormat="1" applyFont="1" applyFill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165" fontId="4" fillId="2" borderId="2" xfId="1" applyNumberFormat="1" applyFont="1" applyFill="1" applyBorder="1" applyAlignment="1">
      <alignment horizontal="center" vertical="center"/>
    </xf>
    <xf numFmtId="165" fontId="20" fillId="2" borderId="7" xfId="1" applyNumberFormat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center" vertical="center"/>
    </xf>
    <xf numFmtId="165" fontId="20" fillId="2" borderId="6" xfId="1" applyNumberFormat="1" applyFont="1" applyFill="1" applyBorder="1" applyAlignment="1">
      <alignment horizontal="left" vertical="center"/>
    </xf>
    <xf numFmtId="0" fontId="20" fillId="2" borderId="6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22" fillId="2" borderId="6" xfId="1" applyFont="1" applyFill="1" applyBorder="1" applyAlignment="1">
      <alignment vertical="center"/>
    </xf>
    <xf numFmtId="0" fontId="4" fillId="2" borderId="0" xfId="1" applyFont="1" applyFill="1" applyAlignment="1">
      <alignment horizontal="right"/>
    </xf>
    <xf numFmtId="168" fontId="27" fillId="2" borderId="0" xfId="1" applyNumberFormat="1" applyFont="1" applyFill="1" applyAlignment="1">
      <alignment horizontal="right" vertical="center"/>
    </xf>
    <xf numFmtId="168" fontId="27" fillId="2" borderId="0" xfId="1" applyNumberFormat="1" applyFont="1" applyFill="1" applyAlignment="1">
      <alignment horizontal="left" vertical="center"/>
    </xf>
    <xf numFmtId="0" fontId="20" fillId="2" borderId="0" xfId="1" applyFont="1" applyFill="1" applyAlignment="1">
      <alignment horizontal="right"/>
    </xf>
    <xf numFmtId="168" fontId="20" fillId="2" borderId="0" xfId="1" applyNumberFormat="1" applyFont="1" applyFill="1" applyAlignment="1">
      <alignment horizontal="center" vertical="center"/>
    </xf>
    <xf numFmtId="0" fontId="20" fillId="2" borderId="0" xfId="1" applyFont="1" applyFill="1" applyAlignment="1">
      <alignment horizontal="center" vertical="center"/>
    </xf>
    <xf numFmtId="0" fontId="15" fillId="2" borderId="2" xfId="1" applyFont="1" applyFill="1" applyBorder="1" applyAlignment="1">
      <alignment vertical="center"/>
    </xf>
    <xf numFmtId="0" fontId="28" fillId="3" borderId="3" xfId="1" applyFont="1" applyFill="1" applyBorder="1" applyAlignment="1">
      <alignment horizontal="right"/>
    </xf>
    <xf numFmtId="168" fontId="19" fillId="2" borderId="0" xfId="1" applyNumberFormat="1" applyFont="1" applyFill="1" applyAlignment="1">
      <alignment horizontal="right" vertical="center"/>
    </xf>
    <xf numFmtId="0" fontId="15" fillId="2" borderId="7" xfId="1" applyFont="1" applyFill="1" applyBorder="1" applyAlignment="1">
      <alignment vertical="center"/>
    </xf>
    <xf numFmtId="0" fontId="28" fillId="3" borderId="8" xfId="1" applyFont="1" applyFill="1" applyBorder="1" applyAlignment="1">
      <alignment horizontal="right"/>
    </xf>
    <xf numFmtId="0" fontId="4" fillId="2" borderId="21" xfId="1" applyFont="1" applyFill="1" applyBorder="1" applyAlignment="1">
      <alignment horizontal="center" vertical="center" textRotation="90" wrapText="1"/>
    </xf>
    <xf numFmtId="165" fontId="4" fillId="2" borderId="24" xfId="1" applyNumberFormat="1" applyFont="1" applyFill="1" applyBorder="1" applyAlignment="1">
      <alignment horizontal="center" vertical="center" textRotation="90" wrapText="1"/>
    </xf>
    <xf numFmtId="165" fontId="4" fillId="2" borderId="25" xfId="1" applyNumberFormat="1" applyFont="1" applyFill="1" applyBorder="1" applyAlignment="1">
      <alignment horizontal="center" vertical="center" textRotation="90" wrapText="1"/>
    </xf>
    <xf numFmtId="0" fontId="4" fillId="2" borderId="26" xfId="1" applyFont="1" applyFill="1" applyBorder="1" applyAlignment="1">
      <alignment horizontal="center" vertical="center" textRotation="90" wrapText="1"/>
    </xf>
    <xf numFmtId="165" fontId="4" fillId="2" borderId="26" xfId="1" applyNumberFormat="1" applyFont="1" applyFill="1" applyBorder="1" applyAlignment="1">
      <alignment horizontal="center" vertical="center" textRotation="90" wrapText="1"/>
    </xf>
    <xf numFmtId="165" fontId="4" fillId="2" borderId="27" xfId="1" applyNumberFormat="1" applyFont="1" applyFill="1" applyBorder="1" applyAlignment="1">
      <alignment horizontal="center" vertical="center" textRotation="90" wrapText="1"/>
    </xf>
    <xf numFmtId="0" fontId="4" fillId="2" borderId="0" xfId="1" applyFont="1" applyFill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1" fontId="4" fillId="2" borderId="28" xfId="1" applyNumberFormat="1" applyFont="1" applyFill="1" applyBorder="1" applyAlignment="1">
      <alignment horizontal="center" vertical="center"/>
    </xf>
    <xf numFmtId="1" fontId="4" fillId="2" borderId="15" xfId="1" applyNumberFormat="1" applyFont="1" applyFill="1" applyBorder="1" applyAlignment="1">
      <alignment horizontal="center" vertical="center"/>
    </xf>
    <xf numFmtId="165" fontId="4" fillId="2" borderId="15" xfId="1" applyNumberFormat="1" applyFont="1" applyFill="1" applyBorder="1" applyAlignment="1">
      <alignment horizontal="center" vertical="center"/>
    </xf>
    <xf numFmtId="1" fontId="4" fillId="2" borderId="29" xfId="1" applyNumberFormat="1" applyFont="1" applyFill="1" applyBorder="1" applyAlignment="1">
      <alignment horizontal="center" vertical="center"/>
    </xf>
    <xf numFmtId="1" fontId="4" fillId="2" borderId="30" xfId="1" applyNumberFormat="1" applyFont="1" applyFill="1" applyBorder="1" applyAlignment="1">
      <alignment horizontal="center" vertical="center"/>
    </xf>
    <xf numFmtId="165" fontId="4" fillId="2" borderId="30" xfId="1" applyNumberFormat="1" applyFont="1" applyFill="1" applyBorder="1" applyAlignment="1">
      <alignment horizontal="center" vertical="center"/>
    </xf>
    <xf numFmtId="2" fontId="46" fillId="2" borderId="0" xfId="1" applyNumberFormat="1" applyFont="1" applyFill="1" applyAlignment="1">
      <alignment vertical="center"/>
    </xf>
    <xf numFmtId="165" fontId="46" fillId="2" borderId="0" xfId="1" applyNumberFormat="1" applyFont="1" applyFill="1" applyAlignment="1">
      <alignment vertical="center"/>
    </xf>
    <xf numFmtId="0" fontId="21" fillId="2" borderId="21" xfId="0" applyFont="1" applyFill="1" applyBorder="1" applyAlignment="1">
      <alignment horizontal="left" vertical="center"/>
    </xf>
    <xf numFmtId="0" fontId="12" fillId="2" borderId="22" xfId="0" applyFont="1" applyFill="1" applyBorder="1" applyAlignment="1">
      <alignment horizontal="right" vertical="center"/>
    </xf>
    <xf numFmtId="0" fontId="12" fillId="2" borderId="23" xfId="0" applyFont="1" applyFill="1" applyBorder="1" applyAlignment="1">
      <alignment horizontal="right" vertical="center"/>
    </xf>
    <xf numFmtId="0" fontId="14" fillId="2" borderId="0" xfId="1" applyFont="1" applyFill="1" applyAlignment="1">
      <alignment horizontal="right" vertical="center"/>
    </xf>
    <xf numFmtId="0" fontId="30" fillId="2" borderId="0" xfId="1" applyFont="1" applyFill="1" applyAlignment="1">
      <alignment horizontal="right" vertical="center"/>
    </xf>
    <xf numFmtId="1" fontId="12" fillId="2" borderId="0" xfId="1" applyNumberFormat="1" applyFill="1" applyAlignment="1">
      <alignment horizontal="right"/>
    </xf>
    <xf numFmtId="0" fontId="12" fillId="2" borderId="1" xfId="1" applyFill="1" applyBorder="1" applyAlignment="1">
      <alignment horizontal="left"/>
    </xf>
    <xf numFmtId="165" fontId="12" fillId="2" borderId="3" xfId="1" applyNumberFormat="1" applyFill="1" applyBorder="1" applyAlignment="1">
      <alignment horizontal="right"/>
    </xf>
    <xf numFmtId="165" fontId="12" fillId="2" borderId="1" xfId="1" applyNumberFormat="1" applyFill="1" applyBorder="1" applyAlignment="1">
      <alignment horizontal="left"/>
    </xf>
    <xf numFmtId="165" fontId="12" fillId="2" borderId="2" xfId="1" applyNumberFormat="1" applyFill="1" applyBorder="1" applyAlignment="1">
      <alignment horizontal="right"/>
    </xf>
    <xf numFmtId="1" fontId="12" fillId="2" borderId="1" xfId="1" applyNumberFormat="1" applyFill="1" applyBorder="1" applyAlignment="1">
      <alignment horizontal="right"/>
    </xf>
    <xf numFmtId="165" fontId="12" fillId="2" borderId="5" xfId="1" applyNumberFormat="1" applyFill="1" applyBorder="1" applyAlignment="1">
      <alignment horizontal="right"/>
    </xf>
    <xf numFmtId="165" fontId="12" fillId="2" borderId="4" xfId="1" applyNumberFormat="1" applyFill="1" applyBorder="1" applyAlignment="1">
      <alignment horizontal="right"/>
    </xf>
    <xf numFmtId="1" fontId="12" fillId="2" borderId="4" xfId="1" applyNumberFormat="1" applyFill="1" applyBorder="1" applyAlignment="1">
      <alignment horizontal="right"/>
    </xf>
    <xf numFmtId="14" fontId="12" fillId="2" borderId="8" xfId="1" applyNumberFormat="1" applyFill="1" applyBorder="1" applyAlignment="1">
      <alignment horizontal="right"/>
    </xf>
    <xf numFmtId="165" fontId="12" fillId="2" borderId="6" xfId="1" applyNumberFormat="1" applyFill="1" applyBorder="1" applyAlignment="1">
      <alignment horizontal="right"/>
    </xf>
    <xf numFmtId="165" fontId="12" fillId="2" borderId="7" xfId="1" applyNumberFormat="1" applyFill="1" applyBorder="1" applyAlignment="1">
      <alignment horizontal="right"/>
    </xf>
    <xf numFmtId="1" fontId="12" fillId="2" borderId="6" xfId="1" applyNumberFormat="1" applyFill="1" applyBorder="1" applyAlignment="1">
      <alignment horizontal="right"/>
    </xf>
    <xf numFmtId="165" fontId="31" fillId="2" borderId="2" xfId="1" applyNumberFormat="1" applyFont="1" applyFill="1" applyBorder="1" applyAlignment="1">
      <alignment horizontal="right"/>
    </xf>
    <xf numFmtId="0" fontId="31" fillId="2" borderId="2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left"/>
    </xf>
    <xf numFmtId="165" fontId="31" fillId="2" borderId="7" xfId="1" applyNumberFormat="1" applyFont="1" applyFill="1" applyBorder="1" applyAlignment="1">
      <alignment horizontal="right"/>
    </xf>
    <xf numFmtId="0" fontId="31" fillId="2" borderId="7" xfId="1" applyFont="1" applyFill="1" applyBorder="1" applyAlignment="1">
      <alignment horizontal="right"/>
    </xf>
    <xf numFmtId="0" fontId="4" fillId="2" borderId="6" xfId="1" applyFont="1" applyFill="1" applyBorder="1" applyAlignment="1">
      <alignment horizontal="right"/>
    </xf>
    <xf numFmtId="168" fontId="19" fillId="2" borderId="0" xfId="1" applyNumberFormat="1" applyFont="1" applyFill="1" applyAlignment="1">
      <alignment horizontal="left" vertical="center"/>
    </xf>
    <xf numFmtId="168" fontId="4" fillId="2" borderId="0" xfId="1" applyNumberFormat="1" applyFont="1" applyFill="1" applyAlignment="1">
      <alignment horizontal="center" vertical="center"/>
    </xf>
    <xf numFmtId="0" fontId="15" fillId="2" borderId="3" xfId="1" applyFont="1" applyFill="1" applyBorder="1" applyAlignment="1">
      <alignment horizontal="right"/>
    </xf>
    <xf numFmtId="0" fontId="28" fillId="2" borderId="8" xfId="1" applyFont="1" applyFill="1" applyBorder="1" applyAlignment="1">
      <alignment horizontal="right"/>
    </xf>
    <xf numFmtId="0" fontId="4" fillId="3" borderId="1" xfId="1" applyFont="1" applyFill="1" applyBorder="1" applyAlignment="1">
      <alignment horizontal="center" vertical="center" textRotation="90" wrapText="1"/>
    </xf>
    <xf numFmtId="0" fontId="6" fillId="3" borderId="21" xfId="1" applyFont="1" applyFill="1" applyBorder="1" applyAlignment="1" applyProtection="1">
      <alignment horizontal="center" vertical="center"/>
      <protection locked="0"/>
    </xf>
    <xf numFmtId="1" fontId="4" fillId="2" borderId="24" xfId="1" applyNumberFormat="1" applyFont="1" applyFill="1" applyBorder="1" applyAlignment="1">
      <alignment horizontal="center" vertical="center"/>
    </xf>
    <xf numFmtId="1" fontId="4" fillId="2" borderId="25" xfId="1" applyNumberFormat="1" applyFont="1" applyFill="1" applyBorder="1" applyAlignment="1">
      <alignment horizontal="center" vertical="center"/>
    </xf>
    <xf numFmtId="1" fontId="4" fillId="2" borderId="26" xfId="1" applyNumberFormat="1" applyFont="1" applyFill="1" applyBorder="1" applyAlignment="1">
      <alignment horizontal="center" vertical="center"/>
    </xf>
    <xf numFmtId="165" fontId="4" fillId="2" borderId="26" xfId="1" applyNumberFormat="1" applyFont="1" applyFill="1" applyBorder="1" applyAlignment="1">
      <alignment horizontal="center" vertical="center"/>
    </xf>
    <xf numFmtId="0" fontId="32" fillId="2" borderId="0" xfId="1" applyFont="1" applyFill="1" applyAlignment="1">
      <alignment horizontal="left" vertical="center"/>
    </xf>
    <xf numFmtId="0" fontId="11" fillId="2" borderId="0" xfId="1" applyFont="1" applyFill="1" applyAlignment="1">
      <alignment horizontal="right"/>
    </xf>
    <xf numFmtId="0" fontId="12" fillId="2" borderId="0" xfId="1" applyFill="1" applyAlignment="1">
      <alignment horizontal="center" vertical="center" wrapText="1"/>
    </xf>
    <xf numFmtId="1" fontId="14" fillId="2" borderId="0" xfId="1" applyNumberFormat="1" applyFont="1" applyFill="1" applyAlignment="1">
      <alignment horizontal="center"/>
    </xf>
    <xf numFmtId="165" fontId="12" fillId="2" borderId="0" xfId="1" applyNumberFormat="1" applyFill="1" applyAlignment="1">
      <alignment horizontal="center"/>
    </xf>
    <xf numFmtId="0" fontId="47" fillId="2" borderId="0" xfId="1" applyFont="1" applyFill="1" applyAlignment="1">
      <alignment horizontal="right"/>
    </xf>
    <xf numFmtId="0" fontId="33" fillId="2" borderId="0" xfId="1" applyFont="1" applyFill="1" applyAlignment="1">
      <alignment horizontal="center" vertical="center"/>
    </xf>
    <xf numFmtId="0" fontId="34" fillId="6" borderId="51" xfId="0" applyFont="1" applyFill="1" applyBorder="1"/>
    <xf numFmtId="0" fontId="34" fillId="6" borderId="52" xfId="0" applyFont="1" applyFill="1" applyBorder="1"/>
    <xf numFmtId="0" fontId="48" fillId="6" borderId="53" xfId="0" applyFont="1" applyFill="1" applyBorder="1" applyAlignment="1">
      <alignment vertical="center"/>
    </xf>
    <xf numFmtId="0" fontId="49" fillId="6" borderId="0" xfId="0" applyFont="1" applyFill="1"/>
    <xf numFmtId="0" fontId="48" fillId="6" borderId="54" xfId="0" applyFont="1" applyFill="1" applyBorder="1" applyAlignment="1">
      <alignment horizontal="right" vertical="center"/>
    </xf>
    <xf numFmtId="0" fontId="50" fillId="6" borderId="55" xfId="0" applyFont="1" applyFill="1" applyBorder="1" applyAlignment="1">
      <alignment horizontal="center" vertical="center"/>
    </xf>
    <xf numFmtId="0" fontId="50" fillId="6" borderId="56" xfId="0" applyFont="1" applyFill="1" applyBorder="1" applyAlignment="1">
      <alignment vertical="center"/>
    </xf>
    <xf numFmtId="0" fontId="50" fillId="6" borderId="53" xfId="0" applyFont="1" applyFill="1" applyBorder="1" applyAlignment="1">
      <alignment horizontal="left" vertical="center"/>
    </xf>
    <xf numFmtId="0" fontId="50" fillId="6" borderId="57" xfId="0" applyFont="1" applyFill="1" applyBorder="1" applyAlignment="1">
      <alignment horizontal="center" vertical="center"/>
    </xf>
    <xf numFmtId="0" fontId="51" fillId="2" borderId="0" xfId="1" applyFont="1" applyFill="1" applyAlignment="1">
      <alignment horizontal="right"/>
    </xf>
    <xf numFmtId="2" fontId="51" fillId="2" borderId="0" xfId="1" applyNumberFormat="1" applyFont="1" applyFill="1"/>
    <xf numFmtId="165" fontId="51" fillId="2" borderId="0" xfId="1" applyNumberFormat="1" applyFont="1" applyFill="1"/>
    <xf numFmtId="0" fontId="35" fillId="2" borderId="0" xfId="1" applyFont="1" applyFill="1" applyAlignment="1">
      <alignment horizontal="right"/>
    </xf>
    <xf numFmtId="0" fontId="52" fillId="6" borderId="53" xfId="0" applyFont="1" applyFill="1" applyBorder="1" applyAlignment="1">
      <alignment horizontal="center"/>
    </xf>
    <xf numFmtId="1" fontId="53" fillId="6" borderId="53" xfId="0" applyNumberFormat="1" applyFont="1" applyFill="1" applyBorder="1" applyAlignment="1">
      <alignment horizontal="center" vertical="center"/>
    </xf>
    <xf numFmtId="2" fontId="50" fillId="6" borderId="57" xfId="0" applyNumberFormat="1" applyFont="1" applyFill="1" applyBorder="1" applyAlignment="1">
      <alignment horizontal="center" vertical="center"/>
    </xf>
    <xf numFmtId="170" fontId="50" fillId="6" borderId="55" xfId="0" applyNumberFormat="1" applyFont="1" applyFill="1" applyBorder="1" applyAlignment="1">
      <alignment horizontal="left" vertical="center"/>
    </xf>
    <xf numFmtId="0" fontId="50" fillId="6" borderId="55" xfId="0" applyFont="1" applyFill="1" applyBorder="1" applyAlignment="1">
      <alignment horizontal="right" vertical="center"/>
    </xf>
    <xf numFmtId="165" fontId="54" fillId="6" borderId="56" xfId="1" applyNumberFormat="1" applyFont="1" applyFill="1" applyBorder="1" applyAlignment="1">
      <alignment horizontal="left" vertical="center"/>
    </xf>
    <xf numFmtId="165" fontId="54" fillId="6" borderId="53" xfId="1" applyNumberFormat="1" applyFont="1" applyFill="1" applyBorder="1" applyAlignment="1">
      <alignment horizontal="left" vertical="center"/>
    </xf>
    <xf numFmtId="165" fontId="36" fillId="6" borderId="53" xfId="1" applyNumberFormat="1" applyFont="1" applyFill="1" applyBorder="1" applyAlignment="1">
      <alignment horizontal="right" vertical="center"/>
    </xf>
    <xf numFmtId="165" fontId="36" fillId="6" borderId="58" xfId="1" applyNumberFormat="1" applyFont="1" applyFill="1" applyBorder="1" applyAlignment="1">
      <alignment horizontal="right" vertical="center"/>
    </xf>
    <xf numFmtId="165" fontId="54" fillId="6" borderId="55" xfId="1" applyNumberFormat="1" applyFont="1" applyFill="1" applyBorder="1" applyAlignment="1">
      <alignment horizontal="left" vertical="center"/>
    </xf>
    <xf numFmtId="164" fontId="12" fillId="2" borderId="1" xfId="1" applyNumberFormat="1" applyFill="1" applyBorder="1"/>
    <xf numFmtId="164" fontId="2" fillId="2" borderId="2" xfId="1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/>
    </xf>
    <xf numFmtId="164" fontId="12" fillId="2" borderId="2" xfId="1" applyNumberFormat="1" applyFill="1" applyBorder="1"/>
    <xf numFmtId="164" fontId="2" fillId="2" borderId="3" xfId="1" applyNumberFormat="1" applyFont="1" applyFill="1" applyBorder="1" applyAlignment="1">
      <alignment horizontal="right"/>
    </xf>
    <xf numFmtId="164" fontId="12" fillId="2" borderId="0" xfId="1" applyNumberFormat="1" applyFill="1"/>
    <xf numFmtId="164" fontId="12" fillId="2" borderId="4" xfId="1" applyNumberFormat="1" applyFill="1" applyBorder="1"/>
    <xf numFmtId="164" fontId="3" fillId="2" borderId="0" xfId="1" applyNumberFormat="1" applyFont="1" applyFill="1" applyAlignment="1">
      <alignment horizontal="center"/>
    </xf>
    <xf numFmtId="164" fontId="3" fillId="2" borderId="4" xfId="1" applyNumberFormat="1" applyFont="1" applyFill="1" applyBorder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center"/>
    </xf>
    <xf numFmtId="164" fontId="4" fillId="2" borderId="5" xfId="1" applyNumberFormat="1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right"/>
    </xf>
    <xf numFmtId="164" fontId="6" fillId="2" borderId="0" xfId="1" applyNumberFormat="1" applyFont="1" applyFill="1" applyAlignment="1">
      <alignment horizontal="center"/>
    </xf>
    <xf numFmtId="164" fontId="6" fillId="2" borderId="4" xfId="1" applyNumberFormat="1" applyFont="1" applyFill="1" applyBorder="1" applyAlignment="1">
      <alignment horizontal="center"/>
    </xf>
    <xf numFmtId="171" fontId="4" fillId="2" borderId="5" xfId="1" applyNumberFormat="1" applyFont="1" applyFill="1" applyBorder="1" applyAlignment="1">
      <alignment horizontal="center"/>
    </xf>
    <xf numFmtId="164" fontId="12" fillId="2" borderId="6" xfId="1" applyNumberFormat="1" applyFill="1" applyBorder="1"/>
    <xf numFmtId="164" fontId="2" fillId="2" borderId="7" xfId="1" applyNumberFormat="1" applyFont="1" applyFill="1" applyBorder="1" applyAlignment="1">
      <alignment horizontal="right"/>
    </xf>
    <xf numFmtId="164" fontId="2" fillId="2" borderId="6" xfId="1" applyNumberFormat="1" applyFont="1" applyFill="1" applyBorder="1" applyAlignment="1">
      <alignment horizontal="right"/>
    </xf>
    <xf numFmtId="164" fontId="12" fillId="2" borderId="7" xfId="1" applyNumberFormat="1" applyFill="1" applyBorder="1"/>
    <xf numFmtId="164" fontId="2" fillId="2" borderId="8" xfId="1" applyNumberFormat="1" applyFont="1" applyFill="1" applyBorder="1" applyAlignment="1">
      <alignment horizontal="right"/>
    </xf>
    <xf numFmtId="164" fontId="11" fillId="2" borderId="12" xfId="1" applyNumberFormat="1" applyFont="1" applyFill="1" applyBorder="1" applyAlignment="1">
      <alignment vertical="center"/>
    </xf>
    <xf numFmtId="164" fontId="8" fillId="2" borderId="0" xfId="1" applyNumberFormat="1" applyFont="1" applyFill="1" applyAlignment="1">
      <alignment horizontal="left" vertical="center"/>
    </xf>
    <xf numFmtId="164" fontId="11" fillId="2" borderId="9" xfId="1" applyNumberFormat="1" applyFont="1" applyFill="1" applyBorder="1" applyAlignment="1">
      <alignment vertical="center"/>
    </xf>
    <xf numFmtId="164" fontId="11" fillId="2" borderId="0" xfId="1" applyNumberFormat="1" applyFont="1" applyFill="1" applyAlignment="1">
      <alignment vertical="center"/>
    </xf>
    <xf numFmtId="164" fontId="11" fillId="2" borderId="19" xfId="1" applyNumberFormat="1" applyFont="1" applyFill="1" applyBorder="1" applyAlignment="1">
      <alignment vertical="center"/>
    </xf>
    <xf numFmtId="164" fontId="12" fillId="2" borderId="14" xfId="1" applyNumberFormat="1" applyFill="1" applyBorder="1"/>
    <xf numFmtId="164" fontId="8" fillId="2" borderId="11" xfId="1" applyNumberFormat="1" applyFont="1" applyFill="1" applyBorder="1" applyAlignment="1">
      <alignment horizontal="right" vertical="center"/>
    </xf>
    <xf numFmtId="164" fontId="12" fillId="2" borderId="12" xfId="1" applyNumberFormat="1" applyFill="1" applyBorder="1"/>
    <xf numFmtId="164" fontId="12" fillId="2" borderId="9" xfId="1" applyNumberFormat="1" applyFill="1" applyBorder="1"/>
    <xf numFmtId="1" fontId="8" fillId="2" borderId="15" xfId="1" applyNumberFormat="1" applyFont="1" applyFill="1" applyBorder="1" applyAlignment="1">
      <alignment horizontal="right" vertical="center"/>
    </xf>
    <xf numFmtId="164" fontId="12" fillId="2" borderId="10" xfId="1" applyNumberFormat="1" applyFill="1" applyBorder="1"/>
    <xf numFmtId="1" fontId="4" fillId="2" borderId="11" xfId="1" applyNumberFormat="1" applyFont="1" applyFill="1" applyBorder="1" applyAlignment="1">
      <alignment horizontal="right" vertical="center"/>
    </xf>
    <xf numFmtId="164" fontId="12" fillId="2" borderId="16" xfId="1" applyNumberFormat="1" applyFill="1" applyBorder="1"/>
    <xf numFmtId="1" fontId="4" fillId="2" borderId="15" xfId="1" applyNumberFormat="1" applyFont="1" applyFill="1" applyBorder="1" applyAlignment="1">
      <alignment horizontal="right" vertical="center"/>
    </xf>
    <xf numFmtId="165" fontId="12" fillId="2" borderId="12" xfId="1" applyNumberFormat="1" applyFill="1" applyBorder="1"/>
    <xf numFmtId="165" fontId="4" fillId="2" borderId="13" xfId="1" applyNumberFormat="1" applyFont="1" applyFill="1" applyBorder="1" applyAlignment="1">
      <alignment horizontal="right" vertical="center"/>
    </xf>
    <xf numFmtId="165" fontId="12" fillId="2" borderId="0" xfId="1" applyNumberFormat="1" applyFill="1"/>
    <xf numFmtId="165" fontId="12" fillId="2" borderId="9" xfId="1" applyNumberFormat="1" applyFill="1" applyBorder="1"/>
    <xf numFmtId="165" fontId="12" fillId="2" borderId="14" xfId="1" applyNumberFormat="1" applyFill="1" applyBorder="1"/>
    <xf numFmtId="165" fontId="4" fillId="2" borderId="15" xfId="1" applyNumberFormat="1" applyFont="1" applyFill="1" applyBorder="1" applyAlignment="1">
      <alignment horizontal="right" vertical="center"/>
    </xf>
    <xf numFmtId="2" fontId="4" fillId="2" borderId="15" xfId="1" applyNumberFormat="1" applyFont="1" applyFill="1" applyBorder="1" applyAlignment="1">
      <alignment horizontal="right" vertical="center"/>
    </xf>
    <xf numFmtId="2" fontId="4" fillId="2" borderId="13" xfId="1" applyNumberFormat="1" applyFont="1" applyFill="1" applyBorder="1" applyAlignment="1">
      <alignment horizontal="right" vertical="center"/>
    </xf>
    <xf numFmtId="164" fontId="4" fillId="2" borderId="18" xfId="1" applyNumberFormat="1" applyFont="1" applyFill="1" applyBorder="1" applyAlignment="1">
      <alignment horizontal="right" vertical="center"/>
    </xf>
    <xf numFmtId="164" fontId="11" fillId="2" borderId="17" xfId="1" applyNumberFormat="1" applyFont="1" applyFill="1" applyBorder="1" applyAlignment="1">
      <alignment vertical="center"/>
    </xf>
    <xf numFmtId="164" fontId="8" fillId="2" borderId="0" xfId="1" applyNumberFormat="1" applyFont="1" applyFill="1" applyAlignment="1">
      <alignment horizontal="right" vertical="center"/>
    </xf>
    <xf numFmtId="165" fontId="4" fillId="2" borderId="11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" fontId="4" fillId="2" borderId="13" xfId="1" applyNumberFormat="1" applyFont="1" applyFill="1" applyBorder="1" applyAlignment="1">
      <alignment horizontal="right" vertical="center"/>
    </xf>
    <xf numFmtId="165" fontId="12" fillId="2" borderId="17" xfId="1" applyNumberFormat="1" applyFill="1" applyBorder="1"/>
    <xf numFmtId="165" fontId="12" fillId="2" borderId="16" xfId="1" applyNumberFormat="1" applyFill="1" applyBorder="1"/>
    <xf numFmtId="166" fontId="2" fillId="2" borderId="0" xfId="1" applyNumberFormat="1" applyFont="1" applyFill="1" applyAlignment="1">
      <alignment horizontal="right"/>
    </xf>
    <xf numFmtId="164" fontId="55" fillId="2" borderId="0" xfId="1" applyNumberFormat="1" applyFont="1" applyFill="1"/>
    <xf numFmtId="164" fontId="56" fillId="2" borderId="0" xfId="1" applyNumberFormat="1" applyFont="1" applyFill="1" applyAlignment="1">
      <alignment horizontal="right"/>
    </xf>
    <xf numFmtId="164" fontId="57" fillId="2" borderId="0" xfId="1" applyNumberFormat="1" applyFont="1" applyFill="1" applyAlignment="1">
      <alignment horizontal="right"/>
    </xf>
    <xf numFmtId="164" fontId="47" fillId="2" borderId="0" xfId="1" applyNumberFormat="1" applyFont="1" applyFill="1"/>
    <xf numFmtId="164" fontId="2" fillId="2" borderId="15" xfId="1" applyNumberFormat="1" applyFont="1" applyFill="1" applyBorder="1" applyAlignment="1">
      <alignment horizontal="right"/>
    </xf>
    <xf numFmtId="164" fontId="2" fillId="2" borderId="14" xfId="1" applyNumberFormat="1" applyFont="1" applyFill="1" applyBorder="1" applyAlignment="1">
      <alignment horizontal="right"/>
    </xf>
    <xf numFmtId="1" fontId="4" fillId="2" borderId="28" xfId="1" applyNumberFormat="1" applyFont="1" applyFill="1" applyBorder="1" applyAlignment="1">
      <alignment horizontal="center"/>
    </xf>
    <xf numFmtId="1" fontId="4" fillId="2" borderId="15" xfId="1" applyNumberFormat="1" applyFont="1" applyFill="1" applyBorder="1" applyAlignment="1">
      <alignment horizontal="center"/>
    </xf>
    <xf numFmtId="165" fontId="4" fillId="2" borderId="15" xfId="1" applyNumberFormat="1" applyFont="1" applyFill="1" applyBorder="1" applyAlignment="1">
      <alignment horizontal="center"/>
    </xf>
    <xf numFmtId="1" fontId="4" fillId="2" borderId="31" xfId="1" applyNumberFormat="1" applyFont="1" applyFill="1" applyBorder="1" applyAlignment="1">
      <alignment horizontal="center" vertical="center"/>
    </xf>
    <xf numFmtId="2" fontId="46" fillId="2" borderId="0" xfId="1" applyNumberFormat="1" applyFont="1" applyFill="1"/>
    <xf numFmtId="165" fontId="46" fillId="2" borderId="0" xfId="1" applyNumberFormat="1" applyFont="1" applyFill="1"/>
    <xf numFmtId="164" fontId="8" fillId="2" borderId="15" xfId="1" applyNumberFormat="1" applyFont="1" applyFill="1" applyBorder="1" applyAlignment="1">
      <alignment horizontal="left" vertical="center"/>
    </xf>
    <xf numFmtId="164" fontId="47" fillId="2" borderId="0" xfId="0" applyNumberFormat="1" applyFont="1" applyFill="1"/>
    <xf numFmtId="164" fontId="57" fillId="2" borderId="0" xfId="0" applyNumberFormat="1" applyFont="1" applyFill="1" applyAlignment="1">
      <alignment horizontal="right"/>
    </xf>
    <xf numFmtId="164" fontId="58" fillId="2" borderId="0" xfId="0" applyNumberFormat="1" applyFont="1" applyFill="1"/>
    <xf numFmtId="164" fontId="59" fillId="2" borderId="0" xfId="0" applyNumberFormat="1" applyFont="1" applyFill="1" applyAlignment="1">
      <alignment horizontal="right"/>
    </xf>
    <xf numFmtId="0" fontId="44" fillId="0" borderId="0" xfId="2"/>
    <xf numFmtId="0" fontId="44" fillId="4" borderId="0" xfId="2" applyFill="1"/>
    <xf numFmtId="0" fontId="60" fillId="7" borderId="0" xfId="2" applyFont="1" applyFill="1"/>
    <xf numFmtId="0" fontId="44" fillId="4" borderId="0" xfId="2" applyFill="1" applyAlignment="1">
      <alignment horizontal="center"/>
    </xf>
    <xf numFmtId="0" fontId="44" fillId="4" borderId="4" xfId="2" applyFill="1" applyBorder="1" applyAlignment="1">
      <alignment horizontal="center"/>
    </xf>
    <xf numFmtId="0" fontId="44" fillId="4" borderId="5" xfId="2" applyFill="1" applyBorder="1" applyAlignment="1">
      <alignment horizontal="center"/>
    </xf>
    <xf numFmtId="0" fontId="44" fillId="4" borderId="32" xfId="2" applyFill="1" applyBorder="1" applyAlignment="1">
      <alignment horizontal="center"/>
    </xf>
    <xf numFmtId="0" fontId="44" fillId="0" borderId="0" xfId="2" applyAlignment="1">
      <alignment horizontal="right"/>
    </xf>
    <xf numFmtId="0" fontId="44" fillId="0" borderId="0" xfId="2" applyAlignment="1">
      <alignment horizontal="center" vertical="center"/>
    </xf>
    <xf numFmtId="0" fontId="44" fillId="0" borderId="0" xfId="2" applyAlignment="1">
      <alignment horizontal="center"/>
    </xf>
    <xf numFmtId="0" fontId="44" fillId="4" borderId="0" xfId="2" applyFill="1" applyAlignment="1">
      <alignment horizontal="center" vertical="center"/>
    </xf>
    <xf numFmtId="0" fontId="44" fillId="4" borderId="1" xfId="2" applyFill="1" applyBorder="1" applyAlignment="1">
      <alignment horizontal="center"/>
    </xf>
    <xf numFmtId="0" fontId="44" fillId="4" borderId="2" xfId="2" applyFill="1" applyBorder="1" applyAlignment="1">
      <alignment horizontal="center"/>
    </xf>
    <xf numFmtId="0" fontId="44" fillId="4" borderId="3" xfId="2" applyFill="1" applyBorder="1" applyAlignment="1">
      <alignment horizontal="center"/>
    </xf>
    <xf numFmtId="0" fontId="44" fillId="4" borderId="33" xfId="2" applyFill="1" applyBorder="1" applyAlignment="1">
      <alignment horizontal="center"/>
    </xf>
    <xf numFmtId="2" fontId="44" fillId="4" borderId="0" xfId="2" applyNumberFormat="1" applyFill="1" applyAlignment="1">
      <alignment horizontal="center" vertical="center"/>
    </xf>
    <xf numFmtId="2" fontId="60" fillId="4" borderId="0" xfId="2" applyNumberFormat="1" applyFont="1" applyFill="1" applyAlignment="1">
      <alignment horizontal="center"/>
    </xf>
    <xf numFmtId="164" fontId="44" fillId="4" borderId="0" xfId="2" applyNumberFormat="1" applyFill="1" applyAlignment="1">
      <alignment horizontal="center"/>
    </xf>
    <xf numFmtId="165" fontId="12" fillId="4" borderId="0" xfId="1" applyNumberFormat="1" applyFill="1" applyAlignment="1">
      <alignment horizontal="center"/>
    </xf>
    <xf numFmtId="1" fontId="44" fillId="4" borderId="0" xfId="2" applyNumberFormat="1" applyFill="1" applyAlignment="1">
      <alignment horizontal="center"/>
    </xf>
    <xf numFmtId="165" fontId="44" fillId="4" borderId="0" xfId="2" applyNumberFormat="1" applyFill="1" applyAlignment="1">
      <alignment horizontal="center"/>
    </xf>
    <xf numFmtId="165" fontId="44" fillId="4" borderId="4" xfId="2" applyNumberFormat="1" applyFill="1" applyBorder="1" applyAlignment="1">
      <alignment horizontal="center"/>
    </xf>
    <xf numFmtId="165" fontId="44" fillId="4" borderId="5" xfId="2" applyNumberFormat="1" applyFill="1" applyBorder="1" applyAlignment="1">
      <alignment horizontal="center"/>
    </xf>
    <xf numFmtId="1" fontId="44" fillId="4" borderId="32" xfId="2" applyNumberFormat="1" applyFill="1" applyBorder="1" applyAlignment="1">
      <alignment horizontal="center"/>
    </xf>
    <xf numFmtId="165" fontId="60" fillId="4" borderId="0" xfId="2" applyNumberFormat="1" applyFont="1" applyFill="1" applyAlignment="1">
      <alignment horizontal="center"/>
    </xf>
    <xf numFmtId="0" fontId="61" fillId="7" borderId="0" xfId="2" applyFont="1" applyFill="1" applyAlignment="1">
      <alignment horizontal="center"/>
    </xf>
    <xf numFmtId="1" fontId="44" fillId="0" borderId="0" xfId="2" applyNumberFormat="1" applyAlignment="1">
      <alignment horizontal="center" vertical="center"/>
    </xf>
    <xf numFmtId="0" fontId="60" fillId="4" borderId="0" xfId="2" applyFont="1" applyFill="1" applyAlignment="1">
      <alignment horizontal="right"/>
    </xf>
    <xf numFmtId="2" fontId="44" fillId="7" borderId="0" xfId="2" applyNumberFormat="1" applyFill="1" applyAlignment="1">
      <alignment horizontal="center" vertical="center"/>
    </xf>
    <xf numFmtId="2" fontId="60" fillId="7" borderId="0" xfId="2" applyNumberFormat="1" applyFont="1" applyFill="1" applyAlignment="1">
      <alignment horizontal="center"/>
    </xf>
    <xf numFmtId="164" fontId="44" fillId="7" borderId="0" xfId="2" applyNumberFormat="1" applyFill="1" applyAlignment="1">
      <alignment horizontal="center"/>
    </xf>
    <xf numFmtId="165" fontId="12" fillId="7" borderId="0" xfId="1" applyNumberFormat="1" applyFill="1" applyAlignment="1">
      <alignment horizontal="center"/>
    </xf>
    <xf numFmtId="1" fontId="44" fillId="7" borderId="0" xfId="2" applyNumberFormat="1" applyFill="1" applyAlignment="1">
      <alignment horizontal="center"/>
    </xf>
    <xf numFmtId="165" fontId="44" fillId="7" borderId="0" xfId="2" applyNumberFormat="1" applyFill="1" applyAlignment="1">
      <alignment horizontal="center"/>
    </xf>
    <xf numFmtId="165" fontId="44" fillId="7" borderId="4" xfId="2" applyNumberFormat="1" applyFill="1" applyBorder="1" applyAlignment="1">
      <alignment horizontal="center"/>
    </xf>
    <xf numFmtId="165" fontId="44" fillId="7" borderId="5" xfId="2" applyNumberFormat="1" applyFill="1" applyBorder="1" applyAlignment="1">
      <alignment horizontal="center"/>
    </xf>
    <xf numFmtId="1" fontId="44" fillId="7" borderId="32" xfId="2" applyNumberFormat="1" applyFill="1" applyBorder="1" applyAlignment="1">
      <alignment horizontal="center"/>
    </xf>
    <xf numFmtId="165" fontId="60" fillId="7" borderId="0" xfId="2" applyNumberFormat="1" applyFont="1" applyFill="1" applyAlignment="1">
      <alignment horizontal="center"/>
    </xf>
    <xf numFmtId="165" fontId="44" fillId="0" borderId="0" xfId="2" applyNumberFormat="1" applyAlignment="1">
      <alignment horizontal="center" vertical="center"/>
    </xf>
    <xf numFmtId="0" fontId="44" fillId="4" borderId="0" xfId="2" applyFill="1" applyAlignment="1">
      <alignment horizontal="right"/>
    </xf>
    <xf numFmtId="2" fontId="4" fillId="5" borderId="11" xfId="0" applyNumberFormat="1" applyFont="1" applyFill="1" applyBorder="1" applyAlignment="1">
      <alignment horizontal="right"/>
    </xf>
    <xf numFmtId="2" fontId="4" fillId="5" borderId="15" xfId="0" applyNumberFormat="1" applyFont="1" applyFill="1" applyBorder="1" applyAlignment="1">
      <alignment horizontal="left"/>
    </xf>
    <xf numFmtId="2" fontId="4" fillId="5" borderId="13" xfId="0" applyNumberFormat="1" applyFont="1" applyFill="1" applyBorder="1" applyAlignment="1">
      <alignment horizontal="right"/>
    </xf>
    <xf numFmtId="2" fontId="44" fillId="4" borderId="0" xfId="2" applyNumberFormat="1" applyFill="1" applyAlignment="1">
      <alignment horizontal="center"/>
    </xf>
    <xf numFmtId="2" fontId="62" fillId="7" borderId="0" xfId="2" applyNumberFormat="1" applyFont="1" applyFill="1" applyAlignment="1">
      <alignment horizontal="left" vertical="center"/>
    </xf>
    <xf numFmtId="1" fontId="44" fillId="0" borderId="0" xfId="2" applyNumberFormat="1"/>
    <xf numFmtId="2" fontId="61" fillId="4" borderId="0" xfId="2" applyNumberFormat="1" applyFont="1" applyFill="1" applyAlignment="1">
      <alignment horizontal="center" vertical="center"/>
    </xf>
    <xf numFmtId="164" fontId="61" fillId="4" borderId="0" xfId="2" applyNumberFormat="1" applyFont="1" applyFill="1" applyAlignment="1">
      <alignment horizontal="center"/>
    </xf>
    <xf numFmtId="165" fontId="61" fillId="4" borderId="0" xfId="2" applyNumberFormat="1" applyFont="1" applyFill="1" applyAlignment="1">
      <alignment horizontal="center"/>
    </xf>
    <xf numFmtId="1" fontId="61" fillId="4" borderId="0" xfId="2" applyNumberFormat="1" applyFont="1" applyFill="1" applyAlignment="1">
      <alignment horizontal="center"/>
    </xf>
    <xf numFmtId="2" fontId="61" fillId="4" borderId="0" xfId="2" applyNumberFormat="1" applyFont="1" applyFill="1" applyAlignment="1">
      <alignment horizontal="center"/>
    </xf>
    <xf numFmtId="165" fontId="61" fillId="4" borderId="4" xfId="2" applyNumberFormat="1" applyFont="1" applyFill="1" applyBorder="1" applyAlignment="1">
      <alignment horizontal="center"/>
    </xf>
    <xf numFmtId="165" fontId="61" fillId="4" borderId="5" xfId="2" applyNumberFormat="1" applyFont="1" applyFill="1" applyBorder="1" applyAlignment="1">
      <alignment horizontal="center"/>
    </xf>
    <xf numFmtId="1" fontId="61" fillId="4" borderId="32" xfId="2" applyNumberFormat="1" applyFont="1" applyFill="1" applyBorder="1" applyAlignment="1">
      <alignment horizontal="center"/>
    </xf>
    <xf numFmtId="165" fontId="63" fillId="4" borderId="0" xfId="2" applyNumberFormat="1" applyFont="1" applyFill="1" applyAlignment="1">
      <alignment horizontal="center"/>
    </xf>
    <xf numFmtId="2" fontId="44" fillId="7" borderId="0" xfId="2" applyNumberFormat="1" applyFill="1" applyAlignment="1">
      <alignment horizontal="center"/>
    </xf>
    <xf numFmtId="1" fontId="12" fillId="4" borderId="0" xfId="1" applyNumberFormat="1" applyFill="1" applyAlignment="1">
      <alignment horizontal="center"/>
    </xf>
    <xf numFmtId="2" fontId="12" fillId="4" borderId="0" xfId="1" applyNumberFormat="1" applyFill="1" applyAlignment="1">
      <alignment horizontal="center"/>
    </xf>
    <xf numFmtId="1" fontId="12" fillId="7" borderId="0" xfId="1" applyNumberFormat="1" applyFill="1" applyAlignment="1">
      <alignment horizontal="center"/>
    </xf>
    <xf numFmtId="2" fontId="12" fillId="7" borderId="0" xfId="1" applyNumberFormat="1" applyFill="1" applyAlignment="1">
      <alignment horizontal="center"/>
    </xf>
    <xf numFmtId="0" fontId="12" fillId="7" borderId="0" xfId="1" applyFill="1" applyAlignment="1">
      <alignment horizontal="center"/>
    </xf>
    <xf numFmtId="0" fontId="12" fillId="4" borderId="0" xfId="1" applyFill="1" applyAlignment="1">
      <alignment horizontal="center"/>
    </xf>
    <xf numFmtId="1" fontId="44" fillId="4" borderId="34" xfId="2" applyNumberFormat="1" applyFill="1" applyBorder="1" applyAlignment="1">
      <alignment horizontal="center"/>
    </xf>
    <xf numFmtId="0" fontId="44" fillId="7" borderId="0" xfId="2" applyFill="1" applyAlignment="1">
      <alignment horizontal="center"/>
    </xf>
    <xf numFmtId="1" fontId="60" fillId="7" borderId="0" xfId="2" applyNumberFormat="1" applyFont="1" applyFill="1" applyAlignment="1">
      <alignment horizontal="center"/>
    </xf>
    <xf numFmtId="2" fontId="60" fillId="7" borderId="34" xfId="2" applyNumberFormat="1" applyFont="1" applyFill="1" applyBorder="1" applyAlignment="1">
      <alignment horizontal="center"/>
    </xf>
    <xf numFmtId="1" fontId="8" fillId="4" borderId="15" xfId="0" applyNumberFormat="1" applyFont="1" applyFill="1" applyBorder="1" applyAlignment="1">
      <alignment horizontal="right"/>
    </xf>
    <xf numFmtId="164" fontId="10" fillId="5" borderId="15" xfId="0" applyNumberFormat="1" applyFont="1" applyFill="1" applyBorder="1" applyAlignment="1">
      <alignment horizontal="left"/>
    </xf>
    <xf numFmtId="1" fontId="8" fillId="5" borderId="13" xfId="0" applyNumberFormat="1" applyFont="1" applyFill="1" applyBorder="1" applyAlignment="1">
      <alignment horizontal="right"/>
    </xf>
    <xf numFmtId="1" fontId="8" fillId="2" borderId="13" xfId="0" applyNumberFormat="1" applyFont="1" applyFill="1" applyBorder="1" applyAlignment="1">
      <alignment horizontal="right"/>
    </xf>
    <xf numFmtId="1" fontId="6" fillId="8" borderId="27" xfId="1" applyNumberFormat="1" applyFont="1" applyFill="1" applyBorder="1" applyAlignment="1" applyProtection="1">
      <alignment horizontal="center" vertical="center"/>
      <protection locked="0"/>
    </xf>
    <xf numFmtId="0" fontId="8" fillId="2" borderId="31" xfId="1" applyFont="1" applyFill="1" applyBorder="1" applyAlignment="1">
      <alignment horizontal="center"/>
    </xf>
    <xf numFmtId="1" fontId="4" fillId="3" borderId="35" xfId="1" applyNumberFormat="1" applyFont="1" applyFill="1" applyBorder="1" applyAlignment="1" applyProtection="1">
      <alignment horizontal="center"/>
      <protection locked="0"/>
    </xf>
    <xf numFmtId="1" fontId="4" fillId="3" borderId="36" xfId="1" applyNumberFormat="1" applyFont="1" applyFill="1" applyBorder="1" applyAlignment="1" applyProtection="1">
      <alignment horizontal="center"/>
      <protection locked="0"/>
    </xf>
    <xf numFmtId="1" fontId="4" fillId="3" borderId="37" xfId="1" applyNumberFormat="1" applyFont="1" applyFill="1" applyBorder="1" applyAlignment="1" applyProtection="1">
      <alignment horizontal="center"/>
      <protection locked="0"/>
    </xf>
    <xf numFmtId="1" fontId="4" fillId="3" borderId="38" xfId="1" applyNumberFormat="1" applyFont="1" applyFill="1" applyBorder="1" applyAlignment="1" applyProtection="1">
      <alignment horizontal="center"/>
      <protection locked="0"/>
    </xf>
    <xf numFmtId="1" fontId="4" fillId="3" borderId="18" xfId="1" applyNumberFormat="1" applyFont="1" applyFill="1" applyBorder="1" applyAlignment="1" applyProtection="1">
      <alignment horizontal="center"/>
      <protection locked="0"/>
    </xf>
    <xf numFmtId="1" fontId="4" fillId="3" borderId="39" xfId="1" applyNumberFormat="1" applyFont="1" applyFill="1" applyBorder="1" applyAlignment="1" applyProtection="1">
      <alignment horizontal="center"/>
      <protection locked="0"/>
    </xf>
    <xf numFmtId="1" fontId="4" fillId="3" borderId="40" xfId="1" applyNumberFormat="1" applyFont="1" applyFill="1" applyBorder="1" applyAlignment="1" applyProtection="1">
      <alignment horizontal="center"/>
      <protection locked="0"/>
    </xf>
    <xf numFmtId="1" fontId="4" fillId="3" borderId="41" xfId="1" applyNumberFormat="1" applyFont="1" applyFill="1" applyBorder="1" applyAlignment="1" applyProtection="1">
      <alignment horizontal="center"/>
      <protection locked="0"/>
    </xf>
    <xf numFmtId="1" fontId="4" fillId="3" borderId="42" xfId="1" applyNumberFormat="1" applyFont="1" applyFill="1" applyBorder="1" applyAlignment="1" applyProtection="1">
      <alignment horizontal="center"/>
      <protection locked="0"/>
    </xf>
    <xf numFmtId="165" fontId="4" fillId="3" borderId="36" xfId="1" applyNumberFormat="1" applyFont="1" applyFill="1" applyBorder="1" applyAlignment="1" applyProtection="1">
      <alignment horizontal="center"/>
      <protection locked="0"/>
    </xf>
    <xf numFmtId="165" fontId="4" fillId="3" borderId="37" xfId="1" applyNumberFormat="1" applyFont="1" applyFill="1" applyBorder="1" applyAlignment="1" applyProtection="1">
      <alignment horizontal="center"/>
      <protection locked="0"/>
    </xf>
    <xf numFmtId="165" fontId="4" fillId="3" borderId="18" xfId="1" applyNumberFormat="1" applyFont="1" applyFill="1" applyBorder="1" applyAlignment="1" applyProtection="1">
      <alignment horizontal="center"/>
      <protection locked="0"/>
    </xf>
    <xf numFmtId="165" fontId="4" fillId="3" borderId="39" xfId="1" applyNumberFormat="1" applyFont="1" applyFill="1" applyBorder="1" applyAlignment="1" applyProtection="1">
      <alignment horizontal="center"/>
      <protection locked="0"/>
    </xf>
    <xf numFmtId="165" fontId="4" fillId="3" borderId="41" xfId="1" applyNumberFormat="1" applyFont="1" applyFill="1" applyBorder="1" applyAlignment="1" applyProtection="1">
      <alignment horizontal="center"/>
      <protection locked="0"/>
    </xf>
    <xf numFmtId="165" fontId="4" fillId="3" borderId="42" xfId="1" applyNumberFormat="1" applyFont="1" applyFill="1" applyBorder="1" applyAlignment="1" applyProtection="1">
      <alignment horizontal="center"/>
      <protection locked="0"/>
    </xf>
    <xf numFmtId="1" fontId="8" fillId="2" borderId="13" xfId="1" applyNumberFormat="1" applyFont="1" applyFill="1" applyBorder="1" applyAlignment="1">
      <alignment horizontal="right" vertical="center"/>
    </xf>
    <xf numFmtId="1" fontId="8" fillId="2" borderId="20" xfId="1" applyNumberFormat="1" applyFont="1" applyFill="1" applyBorder="1" applyAlignment="1">
      <alignment horizontal="right" vertical="center"/>
    </xf>
    <xf numFmtId="1" fontId="4" fillId="2" borderId="43" xfId="1" applyNumberFormat="1" applyFont="1" applyFill="1" applyBorder="1" applyAlignment="1">
      <alignment horizontal="right" vertical="center"/>
    </xf>
    <xf numFmtId="1" fontId="4" fillId="2" borderId="20" xfId="1" applyNumberFormat="1" applyFont="1" applyFill="1" applyBorder="1" applyAlignment="1">
      <alignment horizontal="right" vertical="center"/>
    </xf>
    <xf numFmtId="165" fontId="4" fillId="2" borderId="44" xfId="1" applyNumberFormat="1" applyFont="1" applyFill="1" applyBorder="1" applyAlignment="1">
      <alignment horizontal="right" vertical="center"/>
    </xf>
    <xf numFmtId="165" fontId="4" fillId="2" borderId="20" xfId="1" applyNumberFormat="1" applyFont="1" applyFill="1" applyBorder="1" applyAlignment="1">
      <alignment horizontal="right" vertical="center"/>
    </xf>
    <xf numFmtId="164" fontId="12" fillId="2" borderId="45" xfId="1" applyNumberFormat="1" applyFill="1" applyBorder="1"/>
    <xf numFmtId="165" fontId="12" fillId="2" borderId="46" xfId="1" applyNumberFormat="1" applyFill="1" applyBorder="1"/>
    <xf numFmtId="165" fontId="12" fillId="2" borderId="4" xfId="1" applyNumberFormat="1" applyFill="1" applyBorder="1"/>
    <xf numFmtId="0" fontId="46" fillId="2" borderId="0" xfId="1" applyFont="1" applyFill="1" applyAlignment="1">
      <alignment horizontal="center" vertical="center" wrapText="1"/>
    </xf>
    <xf numFmtId="2" fontId="46" fillId="2" borderId="0" xfId="1" applyNumberFormat="1" applyFont="1" applyFill="1" applyAlignment="1">
      <alignment horizontal="center" vertical="center" wrapText="1"/>
    </xf>
    <xf numFmtId="165" fontId="46" fillId="2" borderId="0" xfId="1" applyNumberFormat="1" applyFont="1" applyFill="1" applyAlignment="1">
      <alignment horizontal="center" vertical="center" wrapText="1"/>
    </xf>
    <xf numFmtId="0" fontId="47" fillId="2" borderId="0" xfId="1" applyFont="1" applyFill="1" applyAlignment="1">
      <alignment horizontal="right" vertical="center"/>
    </xf>
    <xf numFmtId="0" fontId="46" fillId="2" borderId="0" xfId="1" applyFont="1" applyFill="1" applyAlignment="1">
      <alignment horizontal="left" vertical="center"/>
    </xf>
    <xf numFmtId="164" fontId="58" fillId="2" borderId="0" xfId="0" applyNumberFormat="1" applyFont="1" applyFill="1" applyAlignment="1">
      <alignment horizontal="right"/>
    </xf>
    <xf numFmtId="164" fontId="47" fillId="2" borderId="0" xfId="0" applyNumberFormat="1" applyFont="1" applyFill="1" applyAlignment="1">
      <alignment horizontal="right"/>
    </xf>
    <xf numFmtId="0" fontId="46" fillId="2" borderId="1" xfId="1" applyFont="1" applyFill="1" applyBorder="1" applyAlignment="1">
      <alignment vertical="center"/>
    </xf>
    <xf numFmtId="0" fontId="64" fillId="2" borderId="6" xfId="1" applyFont="1" applyFill="1" applyBorder="1" applyAlignment="1">
      <alignment vertical="center"/>
    </xf>
    <xf numFmtId="0" fontId="45" fillId="2" borderId="0" xfId="1" applyFont="1" applyFill="1" applyAlignment="1">
      <alignment horizontal="right"/>
    </xf>
    <xf numFmtId="0" fontId="45" fillId="2" borderId="0" xfId="1" applyFont="1" applyFill="1" applyAlignment="1">
      <alignment horizontal="center" vertical="center"/>
    </xf>
    <xf numFmtId="0" fontId="45" fillId="2" borderId="0" xfId="0" applyFont="1" applyFill="1" applyAlignment="1">
      <alignment horizontal="right" vertical="center"/>
    </xf>
    <xf numFmtId="0" fontId="45" fillId="2" borderId="0" xfId="1" applyFont="1" applyFill="1" applyAlignment="1" applyProtection="1">
      <alignment horizontal="center" vertical="center"/>
      <protection locked="0"/>
    </xf>
    <xf numFmtId="0" fontId="45" fillId="2" borderId="0" xfId="1" applyFont="1" applyFill="1" applyAlignment="1" applyProtection="1">
      <alignment vertical="center"/>
      <protection locked="0"/>
    </xf>
    <xf numFmtId="0" fontId="45" fillId="2" borderId="0" xfId="1" applyFont="1" applyFill="1" applyAlignment="1">
      <alignment horizontal="center" vertical="center" wrapText="1"/>
    </xf>
    <xf numFmtId="165" fontId="45" fillId="2" borderId="0" xfId="1" applyNumberFormat="1" applyFont="1" applyFill="1" applyAlignment="1">
      <alignment horizontal="right"/>
    </xf>
    <xf numFmtId="0" fontId="45" fillId="2" borderId="0" xfId="1" applyFont="1" applyFill="1" applyAlignment="1">
      <alignment horizontal="left" vertical="center"/>
    </xf>
    <xf numFmtId="2" fontId="45" fillId="2" borderId="0" xfId="1" applyNumberFormat="1" applyFont="1" applyFill="1"/>
    <xf numFmtId="165" fontId="45" fillId="2" borderId="0" xfId="1" applyNumberFormat="1" applyFont="1" applyFill="1" applyAlignment="1">
      <alignment horizontal="center" vertical="center" wrapText="1"/>
    </xf>
    <xf numFmtId="2" fontId="45" fillId="2" borderId="0" xfId="1" applyNumberFormat="1" applyFont="1" applyFill="1" applyAlignment="1">
      <alignment horizontal="center" vertical="center" wrapText="1"/>
    </xf>
    <xf numFmtId="1" fontId="45" fillId="2" borderId="0" xfId="1" applyNumberFormat="1" applyFont="1" applyFill="1" applyAlignment="1">
      <alignment horizontal="center" vertical="center"/>
    </xf>
    <xf numFmtId="0" fontId="45" fillId="4" borderId="0" xfId="1" applyFont="1" applyFill="1" applyAlignment="1">
      <alignment horizontal="right"/>
    </xf>
    <xf numFmtId="0" fontId="55" fillId="2" borderId="0" xfId="1" applyFont="1" applyFill="1" applyAlignment="1">
      <alignment horizontal="right"/>
    </xf>
    <xf numFmtId="2" fontId="45" fillId="2" borderId="0" xfId="1" applyNumberFormat="1" applyFont="1" applyFill="1" applyAlignment="1">
      <alignment vertical="center"/>
    </xf>
    <xf numFmtId="165" fontId="45" fillId="2" borderId="0" xfId="1" applyNumberFormat="1" applyFont="1" applyFill="1" applyAlignment="1">
      <alignment vertical="center"/>
    </xf>
    <xf numFmtId="0" fontId="45" fillId="2" borderId="0" xfId="0" applyFont="1" applyFill="1" applyAlignment="1">
      <alignment horizontal="center" vertical="center"/>
    </xf>
    <xf numFmtId="165" fontId="45" fillId="2" borderId="0" xfId="1" applyNumberFormat="1" applyFont="1" applyFill="1"/>
    <xf numFmtId="0" fontId="55" fillId="2" borderId="0" xfId="1" applyFont="1" applyFill="1" applyAlignment="1">
      <alignment horizontal="right" vertical="center"/>
    </xf>
    <xf numFmtId="0" fontId="66" fillId="2" borderId="0" xfId="1" applyFont="1" applyFill="1" applyAlignment="1">
      <alignment horizontal="right"/>
    </xf>
    <xf numFmtId="2" fontId="66" fillId="2" borderId="0" xfId="1" applyNumberFormat="1" applyFont="1" applyFill="1"/>
    <xf numFmtId="165" fontId="66" fillId="2" borderId="0" xfId="1" applyNumberFormat="1" applyFont="1" applyFill="1"/>
    <xf numFmtId="1" fontId="4" fillId="4" borderId="21" xfId="1" applyNumberFormat="1" applyFont="1" applyFill="1" applyBorder="1" applyAlignment="1">
      <alignment horizontal="center" vertical="center"/>
    </xf>
    <xf numFmtId="164" fontId="65" fillId="2" borderId="11" xfId="1" applyNumberFormat="1" applyFont="1" applyFill="1" applyBorder="1" applyAlignment="1">
      <alignment horizontal="right" vertical="center"/>
    </xf>
    <xf numFmtId="1" fontId="4" fillId="5" borderId="11" xfId="0" applyNumberFormat="1" applyFont="1" applyFill="1" applyBorder="1" applyAlignment="1">
      <alignment horizontal="right"/>
    </xf>
    <xf numFmtId="1" fontId="4" fillId="5" borderId="15" xfId="0" applyNumberFormat="1" applyFont="1" applyFill="1" applyBorder="1" applyAlignment="1">
      <alignment horizontal="right"/>
    </xf>
    <xf numFmtId="165" fontId="4" fillId="5" borderId="13" xfId="0" applyNumberFormat="1" applyFont="1" applyFill="1" applyBorder="1" applyAlignment="1">
      <alignment horizontal="right"/>
    </xf>
    <xf numFmtId="165" fontId="4" fillId="5" borderId="15" xfId="0" applyNumberFormat="1" applyFont="1" applyFill="1" applyBorder="1" applyAlignment="1">
      <alignment horizontal="right"/>
    </xf>
    <xf numFmtId="164" fontId="4" fillId="5" borderId="18" xfId="0" applyNumberFormat="1" applyFont="1" applyFill="1" applyBorder="1" applyAlignment="1">
      <alignment horizontal="right"/>
    </xf>
    <xf numFmtId="164" fontId="4" fillId="5" borderId="15" xfId="0" applyNumberFormat="1" applyFont="1" applyFill="1" applyBorder="1" applyAlignment="1">
      <alignment horizontal="right"/>
    </xf>
    <xf numFmtId="165" fontId="4" fillId="2" borderId="28" xfId="1" applyNumberFormat="1" applyFont="1" applyFill="1" applyBorder="1" applyAlignment="1">
      <alignment horizontal="center" vertical="center"/>
    </xf>
    <xf numFmtId="165" fontId="4" fillId="2" borderId="28" xfId="1" applyNumberFormat="1" applyFont="1" applyFill="1" applyBorder="1" applyAlignment="1">
      <alignment horizontal="center"/>
    </xf>
    <xf numFmtId="165" fontId="4" fillId="2" borderId="5" xfId="1" applyNumberFormat="1" applyFont="1" applyFill="1" applyBorder="1" applyAlignment="1">
      <alignment horizontal="center" vertical="center"/>
    </xf>
    <xf numFmtId="165" fontId="4" fillId="2" borderId="5" xfId="1" applyNumberFormat="1" applyFont="1" applyFill="1" applyBorder="1" applyAlignment="1">
      <alignment horizontal="center"/>
    </xf>
    <xf numFmtId="165" fontId="4" fillId="2" borderId="50" xfId="1" applyNumberFormat="1" applyFont="1" applyFill="1" applyBorder="1" applyAlignment="1">
      <alignment horizontal="center" vertical="center"/>
    </xf>
    <xf numFmtId="165" fontId="4" fillId="2" borderId="33" xfId="1" applyNumberFormat="1" applyFont="1" applyFill="1" applyBorder="1" applyAlignment="1">
      <alignment horizontal="center" vertical="center"/>
    </xf>
    <xf numFmtId="165" fontId="4" fillId="2" borderId="32" xfId="1" applyNumberFormat="1" applyFont="1" applyFill="1" applyBorder="1" applyAlignment="1">
      <alignment horizontal="center" vertical="center"/>
    </xf>
    <xf numFmtId="165" fontId="4" fillId="2" borderId="32" xfId="1" applyNumberFormat="1" applyFont="1" applyFill="1" applyBorder="1" applyAlignment="1">
      <alignment horizontal="center"/>
    </xf>
    <xf numFmtId="1" fontId="21" fillId="4" borderId="21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49" fontId="45" fillId="2" borderId="0" xfId="0" applyNumberFormat="1" applyFont="1" applyFill="1" applyAlignment="1">
      <alignment horizontal="right" vertic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0" fillId="2" borderId="6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165" fontId="4" fillId="2" borderId="25" xfId="1" applyNumberFormat="1" applyFont="1" applyFill="1" applyBorder="1" applyAlignment="1">
      <alignment horizontal="center" vertical="center"/>
    </xf>
    <xf numFmtId="165" fontId="4" fillId="2" borderId="24" xfId="1" applyNumberFormat="1" applyFont="1" applyFill="1" applyBorder="1" applyAlignment="1">
      <alignment horizontal="center" vertical="center"/>
    </xf>
    <xf numFmtId="165" fontId="4" fillId="2" borderId="23" xfId="1" applyNumberFormat="1" applyFont="1" applyFill="1" applyBorder="1" applyAlignment="1">
      <alignment horizontal="center" vertical="center"/>
    </xf>
    <xf numFmtId="174" fontId="72" fillId="6" borderId="53" xfId="1" applyNumberFormat="1" applyFont="1" applyFill="1" applyBorder="1" applyAlignment="1">
      <alignment horizontal="left" vertical="center"/>
    </xf>
    <xf numFmtId="1" fontId="4" fillId="2" borderId="4" xfId="1" applyNumberFormat="1" applyFont="1" applyFill="1" applyBorder="1" applyAlignment="1">
      <alignment horizontal="center" vertical="center"/>
    </xf>
    <xf numFmtId="0" fontId="2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right" vertical="center"/>
    </xf>
    <xf numFmtId="0" fontId="1" fillId="0" borderId="0" xfId="2" applyFont="1" applyAlignment="1">
      <alignment horizontal="right"/>
    </xf>
    <xf numFmtId="165" fontId="44" fillId="0" borderId="0" xfId="2" applyNumberFormat="1" applyAlignment="1">
      <alignment horizontal="right"/>
    </xf>
    <xf numFmtId="165" fontId="60" fillId="7" borderId="27" xfId="2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center"/>
    </xf>
    <xf numFmtId="1" fontId="46" fillId="2" borderId="28" xfId="1" applyNumberFormat="1" applyFont="1" applyFill="1" applyBorder="1" applyAlignment="1">
      <alignment horizontal="center" vertical="center"/>
    </xf>
    <xf numFmtId="165" fontId="46" fillId="2" borderId="5" xfId="1" applyNumberFormat="1" applyFont="1" applyFill="1" applyBorder="1" applyAlignment="1">
      <alignment horizontal="center" vertical="center"/>
    </xf>
    <xf numFmtId="165" fontId="46" fillId="2" borderId="28" xfId="1" applyNumberFormat="1" applyFont="1" applyFill="1" applyBorder="1" applyAlignment="1">
      <alignment horizontal="center" vertical="center"/>
    </xf>
    <xf numFmtId="1" fontId="46" fillId="2" borderId="15" xfId="1" applyNumberFormat="1" applyFont="1" applyFill="1" applyBorder="1" applyAlignment="1">
      <alignment horizontal="center" vertical="center"/>
    </xf>
    <xf numFmtId="165" fontId="46" fillId="2" borderId="15" xfId="1" applyNumberFormat="1" applyFont="1" applyFill="1" applyBorder="1" applyAlignment="1">
      <alignment horizontal="center" vertical="center"/>
    </xf>
    <xf numFmtId="1" fontId="46" fillId="2" borderId="29" xfId="1" applyNumberFormat="1" applyFont="1" applyFill="1" applyBorder="1" applyAlignment="1">
      <alignment horizontal="center" vertical="center"/>
    </xf>
    <xf numFmtId="165" fontId="46" fillId="2" borderId="32" xfId="1" applyNumberFormat="1" applyFont="1" applyFill="1" applyBorder="1" applyAlignment="1">
      <alignment horizontal="center" vertical="center"/>
    </xf>
    <xf numFmtId="1" fontId="46" fillId="2" borderId="4" xfId="1" applyNumberFormat="1" applyFont="1" applyFill="1" applyBorder="1" applyAlignment="1">
      <alignment horizontal="center" vertical="center"/>
    </xf>
    <xf numFmtId="1" fontId="46" fillId="2" borderId="47" xfId="1" applyNumberFormat="1" applyFont="1" applyFill="1" applyBorder="1" applyAlignment="1">
      <alignment horizontal="center" vertical="center"/>
    </xf>
    <xf numFmtId="165" fontId="46" fillId="2" borderId="8" xfId="1" applyNumberFormat="1" applyFont="1" applyFill="1" applyBorder="1" applyAlignment="1">
      <alignment horizontal="center" vertical="center"/>
    </xf>
    <xf numFmtId="165" fontId="46" fillId="2" borderId="47" xfId="1" applyNumberFormat="1" applyFont="1" applyFill="1" applyBorder="1" applyAlignment="1">
      <alignment horizontal="center" vertical="center"/>
    </xf>
    <xf numFmtId="1" fontId="46" fillId="2" borderId="48" xfId="1" applyNumberFormat="1" applyFont="1" applyFill="1" applyBorder="1" applyAlignment="1">
      <alignment horizontal="center" vertical="center"/>
    </xf>
    <xf numFmtId="165" fontId="46" fillId="2" borderId="48" xfId="1" applyNumberFormat="1" applyFont="1" applyFill="1" applyBorder="1" applyAlignment="1">
      <alignment horizontal="center" vertical="center"/>
    </xf>
    <xf numFmtId="1" fontId="46" fillId="2" borderId="49" xfId="1" applyNumberFormat="1" applyFont="1" applyFill="1" applyBorder="1" applyAlignment="1">
      <alignment horizontal="center" vertical="center"/>
    </xf>
    <xf numFmtId="165" fontId="46" fillId="2" borderId="34" xfId="1" applyNumberFormat="1" applyFont="1" applyFill="1" applyBorder="1" applyAlignment="1">
      <alignment horizontal="center" vertical="center"/>
    </xf>
    <xf numFmtId="1" fontId="46" fillId="2" borderId="6" xfId="1" applyNumberFormat="1" applyFont="1" applyFill="1" applyBorder="1" applyAlignment="1">
      <alignment horizontal="center" vertical="center"/>
    </xf>
    <xf numFmtId="1" fontId="46" fillId="2" borderId="28" xfId="1" applyNumberFormat="1" applyFont="1" applyFill="1" applyBorder="1" applyAlignment="1">
      <alignment horizontal="center"/>
    </xf>
    <xf numFmtId="165" fontId="46" fillId="2" borderId="5" xfId="1" applyNumberFormat="1" applyFont="1" applyFill="1" applyBorder="1" applyAlignment="1">
      <alignment horizontal="center"/>
    </xf>
    <xf numFmtId="165" fontId="46" fillId="2" borderId="28" xfId="1" applyNumberFormat="1" applyFont="1" applyFill="1" applyBorder="1" applyAlignment="1">
      <alignment horizontal="center"/>
    </xf>
    <xf numFmtId="1" fontId="46" fillId="2" borderId="15" xfId="1" applyNumberFormat="1" applyFont="1" applyFill="1" applyBorder="1" applyAlignment="1">
      <alignment horizontal="center"/>
    </xf>
    <xf numFmtId="165" fontId="46" fillId="2" borderId="15" xfId="1" applyNumberFormat="1" applyFont="1" applyFill="1" applyBorder="1" applyAlignment="1">
      <alignment horizontal="center"/>
    </xf>
    <xf numFmtId="165" fontId="46" fillId="2" borderId="32" xfId="1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6" fillId="2" borderId="0" xfId="1" applyFont="1" applyFill="1" applyAlignment="1">
      <alignment horizontal="right" wrapText="1"/>
    </xf>
    <xf numFmtId="1" fontId="46" fillId="2" borderId="0" xfId="1" applyNumberFormat="1" applyFont="1" applyFill="1" applyAlignment="1">
      <alignment horizontal="right" wrapText="1"/>
    </xf>
    <xf numFmtId="169" fontId="46" fillId="2" borderId="0" xfId="1" applyNumberFormat="1" applyFont="1" applyFill="1" applyAlignment="1">
      <alignment horizontal="right" wrapText="1"/>
    </xf>
    <xf numFmtId="2" fontId="46" fillId="2" borderId="0" xfId="1" applyNumberFormat="1" applyFont="1" applyFill="1" applyAlignment="1">
      <alignment horizontal="right" vertical="center"/>
    </xf>
    <xf numFmtId="165" fontId="46" fillId="2" borderId="0" xfId="1" applyNumberFormat="1" applyFont="1" applyFill="1" applyAlignment="1">
      <alignment horizontal="right" vertical="center"/>
    </xf>
    <xf numFmtId="1" fontId="46" fillId="2" borderId="0" xfId="1" applyNumberFormat="1" applyFont="1" applyFill="1" applyAlignment="1">
      <alignment horizontal="right" vertical="center"/>
    </xf>
    <xf numFmtId="1" fontId="46" fillId="2" borderId="0" xfId="1" applyNumberFormat="1" applyFont="1" applyFill="1" applyAlignment="1">
      <alignment horizontal="right"/>
    </xf>
    <xf numFmtId="164" fontId="46" fillId="2" borderId="0" xfId="1" applyNumberFormat="1" applyFont="1" applyFill="1" applyAlignment="1">
      <alignment horizontal="right" vertical="center"/>
    </xf>
    <xf numFmtId="165" fontId="46" fillId="2" borderId="0" xfId="1" applyNumberFormat="1" applyFont="1" applyFill="1" applyAlignment="1">
      <alignment horizontal="right"/>
    </xf>
    <xf numFmtId="0" fontId="46" fillId="4" borderId="0" xfId="1" applyFont="1" applyFill="1" applyAlignment="1">
      <alignment horizontal="center"/>
    </xf>
    <xf numFmtId="0" fontId="46" fillId="2" borderId="0" xfId="1" applyFont="1" applyFill="1" applyAlignment="1">
      <alignment horizontal="right" vertical="center" wrapText="1"/>
    </xf>
    <xf numFmtId="1" fontId="59" fillId="2" borderId="13" xfId="1" applyNumberFormat="1" applyFont="1" applyFill="1" applyBorder="1" applyAlignment="1">
      <alignment horizontal="right" vertical="center"/>
    </xf>
    <xf numFmtId="1" fontId="59" fillId="2" borderId="15" xfId="1" applyNumberFormat="1" applyFont="1" applyFill="1" applyBorder="1" applyAlignment="1">
      <alignment horizontal="right" vertical="center"/>
    </xf>
    <xf numFmtId="1" fontId="46" fillId="2" borderId="11" xfId="1" applyNumberFormat="1" applyFont="1" applyFill="1" applyBorder="1" applyAlignment="1">
      <alignment horizontal="right" vertical="center"/>
    </xf>
    <xf numFmtId="1" fontId="46" fillId="2" borderId="15" xfId="1" applyNumberFormat="1" applyFont="1" applyFill="1" applyBorder="1" applyAlignment="1">
      <alignment horizontal="right" vertical="center"/>
    </xf>
    <xf numFmtId="165" fontId="46" fillId="2" borderId="13" xfId="1" applyNumberFormat="1" applyFont="1" applyFill="1" applyBorder="1" applyAlignment="1">
      <alignment horizontal="right" vertical="center"/>
    </xf>
    <xf numFmtId="165" fontId="46" fillId="2" borderId="15" xfId="1" applyNumberFormat="1" applyFont="1" applyFill="1" applyBorder="1" applyAlignment="1">
      <alignment horizontal="right" vertical="center"/>
    </xf>
    <xf numFmtId="2" fontId="46" fillId="2" borderId="15" xfId="1" applyNumberFormat="1" applyFont="1" applyFill="1" applyBorder="1" applyAlignment="1">
      <alignment horizontal="right" vertical="center"/>
    </xf>
    <xf numFmtId="2" fontId="46" fillId="2" borderId="13" xfId="1" applyNumberFormat="1" applyFont="1" applyFill="1" applyBorder="1" applyAlignment="1">
      <alignment horizontal="right" vertical="center"/>
    </xf>
    <xf numFmtId="164" fontId="46" fillId="2" borderId="18" xfId="1" applyNumberFormat="1" applyFont="1" applyFill="1" applyBorder="1" applyAlignment="1">
      <alignment horizontal="right" vertical="center"/>
    </xf>
    <xf numFmtId="164" fontId="59" fillId="2" borderId="0" xfId="1" applyNumberFormat="1" applyFont="1" applyFill="1" applyAlignment="1">
      <alignment horizontal="right" vertical="center"/>
    </xf>
    <xf numFmtId="164" fontId="59" fillId="2" borderId="11" xfId="1" applyNumberFormat="1" applyFont="1" applyFill="1" applyBorder="1" applyAlignment="1">
      <alignment horizontal="right" vertical="center"/>
    </xf>
    <xf numFmtId="165" fontId="46" fillId="2" borderId="11" xfId="1" applyNumberFormat="1" applyFont="1" applyFill="1" applyBorder="1" applyAlignment="1">
      <alignment horizontal="right" vertical="center"/>
    </xf>
    <xf numFmtId="164" fontId="46" fillId="2" borderId="15" xfId="1" applyNumberFormat="1" applyFont="1" applyFill="1" applyBorder="1" applyAlignment="1">
      <alignment horizontal="right" vertical="center"/>
    </xf>
    <xf numFmtId="1" fontId="46" fillId="2" borderId="13" xfId="1" applyNumberFormat="1" applyFont="1" applyFill="1" applyBorder="1" applyAlignment="1">
      <alignment horizontal="right" vertical="center"/>
    </xf>
    <xf numFmtId="165" fontId="46" fillId="2" borderId="18" xfId="1" applyNumberFormat="1" applyFont="1" applyFill="1" applyBorder="1" applyAlignment="1">
      <alignment horizontal="right" vertical="center"/>
    </xf>
    <xf numFmtId="164" fontId="12" fillId="2" borderId="11" xfId="1" applyNumberFormat="1" applyFill="1" applyBorder="1"/>
    <xf numFmtId="164" fontId="12" fillId="2" borderId="13" xfId="1" applyNumberFormat="1" applyFill="1" applyBorder="1"/>
    <xf numFmtId="1" fontId="4" fillId="2" borderId="4" xfId="1" applyNumberFormat="1" applyFont="1" applyFill="1" applyBorder="1" applyAlignment="1">
      <alignment horizontal="center"/>
    </xf>
    <xf numFmtId="1" fontId="46" fillId="2" borderId="4" xfId="1" applyNumberFormat="1" applyFont="1" applyFill="1" applyBorder="1" applyAlignment="1">
      <alignment horizontal="center"/>
    </xf>
    <xf numFmtId="0" fontId="73" fillId="2" borderId="0" xfId="1" applyFont="1" applyFill="1"/>
    <xf numFmtId="1" fontId="74" fillId="2" borderId="0" xfId="1" applyNumberFormat="1" applyFont="1" applyFill="1" applyAlignment="1">
      <alignment horizontal="center" vertical="center"/>
    </xf>
    <xf numFmtId="0" fontId="73" fillId="2" borderId="0" xfId="1" applyFont="1" applyFill="1" applyAlignment="1">
      <alignment horizontal="center" vertical="center" wrapText="1"/>
    </xf>
    <xf numFmtId="2" fontId="73" fillId="2" borderId="0" xfId="1" applyNumberFormat="1" applyFont="1" applyFill="1" applyAlignment="1">
      <alignment horizontal="center"/>
    </xf>
    <xf numFmtId="0" fontId="73" fillId="2" borderId="0" xfId="1" applyFont="1" applyFill="1" applyAlignment="1">
      <alignment horizontal="right"/>
    </xf>
    <xf numFmtId="2" fontId="73" fillId="2" borderId="0" xfId="1" applyNumberFormat="1" applyFont="1" applyFill="1"/>
    <xf numFmtId="165" fontId="73" fillId="2" borderId="0" xfId="1" applyNumberFormat="1" applyFont="1" applyFill="1" applyAlignment="1">
      <alignment horizontal="center" vertical="center" wrapText="1"/>
    </xf>
    <xf numFmtId="1" fontId="73" fillId="2" borderId="0" xfId="1" applyNumberFormat="1" applyFont="1" applyFill="1" applyAlignment="1">
      <alignment horizontal="center"/>
    </xf>
    <xf numFmtId="0" fontId="73" fillId="2" borderId="0" xfId="1" applyFont="1" applyFill="1" applyAlignment="1">
      <alignment horizontal="left"/>
    </xf>
    <xf numFmtId="165" fontId="74" fillId="2" borderId="0" xfId="1" applyNumberFormat="1" applyFont="1" applyFill="1" applyAlignment="1">
      <alignment horizontal="center" vertical="center"/>
    </xf>
    <xf numFmtId="165" fontId="73" fillId="2" borderId="0" xfId="1" applyNumberFormat="1" applyFont="1" applyFill="1" applyAlignment="1">
      <alignment horizontal="center" vertical="center"/>
    </xf>
    <xf numFmtId="165" fontId="74" fillId="2" borderId="0" xfId="1" applyNumberFormat="1" applyFont="1" applyFill="1" applyAlignment="1">
      <alignment horizontal="left"/>
    </xf>
    <xf numFmtId="165" fontId="73" fillId="2" borderId="0" xfId="1" applyNumberFormat="1" applyFont="1" applyFill="1" applyAlignment="1">
      <alignment horizontal="center"/>
    </xf>
    <xf numFmtId="2" fontId="73" fillId="2" borderId="0" xfId="1" applyNumberFormat="1" applyFont="1" applyFill="1" applyAlignment="1">
      <alignment horizontal="center" vertical="center" wrapText="1"/>
    </xf>
    <xf numFmtId="165" fontId="73" fillId="2" borderId="0" xfId="1" applyNumberFormat="1" applyFont="1" applyFill="1" applyAlignment="1">
      <alignment horizontal="right"/>
    </xf>
    <xf numFmtId="0" fontId="73" fillId="2" borderId="0" xfId="1" applyFont="1" applyFill="1" applyAlignment="1">
      <alignment horizontal="center"/>
    </xf>
    <xf numFmtId="169" fontId="73" fillId="2" borderId="0" xfId="1" applyNumberFormat="1" applyFont="1" applyFill="1" applyAlignment="1">
      <alignment horizontal="center"/>
    </xf>
    <xf numFmtId="0" fontId="73" fillId="2" borderId="0" xfId="1" applyFont="1" applyFill="1" applyAlignment="1">
      <alignment horizontal="right" vertical="center"/>
    </xf>
    <xf numFmtId="1" fontId="73" fillId="2" borderId="0" xfId="1" applyNumberFormat="1" applyFont="1" applyFill="1" applyAlignment="1">
      <alignment horizontal="center" vertical="center"/>
    </xf>
    <xf numFmtId="0" fontId="73" fillId="2" borderId="0" xfId="1" applyFont="1" applyFill="1" applyAlignment="1">
      <alignment horizontal="left" vertical="center"/>
    </xf>
    <xf numFmtId="1" fontId="73" fillId="2" borderId="0" xfId="1" applyNumberFormat="1" applyFont="1" applyFill="1" applyAlignment="1">
      <alignment horizontal="right"/>
    </xf>
    <xf numFmtId="165" fontId="15" fillId="2" borderId="2" xfId="1" applyNumberFormat="1" applyFont="1" applyFill="1" applyBorder="1" applyAlignment="1">
      <alignment horizontal="center" vertical="center"/>
    </xf>
    <xf numFmtId="165" fontId="15" fillId="2" borderId="7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/>
    </xf>
    <xf numFmtId="0" fontId="4" fillId="2" borderId="5" xfId="1" applyFont="1" applyFill="1" applyBorder="1" applyAlignment="1">
      <alignment horizontal="center"/>
    </xf>
    <xf numFmtId="165" fontId="15" fillId="2" borderId="3" xfId="1" applyNumberFormat="1" applyFont="1" applyFill="1" applyBorder="1" applyAlignment="1">
      <alignment horizontal="center" vertical="center"/>
    </xf>
    <xf numFmtId="165" fontId="15" fillId="2" borderId="8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26" fillId="3" borderId="2" xfId="1" applyFont="1" applyFill="1" applyBorder="1" applyAlignment="1">
      <alignment horizontal="center" vertical="center"/>
    </xf>
    <xf numFmtId="0" fontId="26" fillId="3" borderId="7" xfId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/>
    </xf>
    <xf numFmtId="0" fontId="15" fillId="2" borderId="7" xfId="1" applyFont="1" applyFill="1" applyBorder="1" applyAlignment="1">
      <alignment horizontal="center" vertical="center"/>
    </xf>
    <xf numFmtId="0" fontId="15" fillId="2" borderId="8" xfId="1" applyFont="1" applyFill="1" applyBorder="1" applyAlignment="1">
      <alignment horizontal="center" vertical="center"/>
    </xf>
    <xf numFmtId="1" fontId="15" fillId="2" borderId="2" xfId="1" applyNumberFormat="1" applyFont="1" applyFill="1" applyBorder="1" applyAlignment="1">
      <alignment horizontal="center" vertical="center"/>
    </xf>
    <xf numFmtId="1" fontId="15" fillId="2" borderId="7" xfId="1" applyNumberFormat="1" applyFont="1" applyFill="1" applyBorder="1" applyAlignment="1">
      <alignment horizontal="center" vertical="center"/>
    </xf>
    <xf numFmtId="168" fontId="3" fillId="3" borderId="2" xfId="1" applyNumberFormat="1" applyFont="1" applyFill="1" applyBorder="1" applyAlignment="1" applyProtection="1">
      <alignment horizontal="center" vertical="center"/>
      <protection locked="0"/>
    </xf>
    <xf numFmtId="168" fontId="3" fillId="3" borderId="3" xfId="1" applyNumberFormat="1" applyFont="1" applyFill="1" applyBorder="1" applyAlignment="1" applyProtection="1">
      <alignment horizontal="center" vertical="center"/>
      <protection locked="0"/>
    </xf>
    <xf numFmtId="168" fontId="3" fillId="3" borderId="7" xfId="1" applyNumberFormat="1" applyFont="1" applyFill="1" applyBorder="1" applyAlignment="1" applyProtection="1">
      <alignment horizontal="center" vertical="center"/>
      <protection locked="0"/>
    </xf>
    <xf numFmtId="168" fontId="3" fillId="3" borderId="8" xfId="1" applyNumberFormat="1" applyFont="1" applyFill="1" applyBorder="1" applyAlignment="1" applyProtection="1">
      <alignment horizontal="center" vertical="center"/>
      <protection locked="0"/>
    </xf>
    <xf numFmtId="0" fontId="20" fillId="3" borderId="6" xfId="1" applyFont="1" applyFill="1" applyBorder="1" applyAlignment="1">
      <alignment horizontal="center" vertical="center"/>
    </xf>
    <xf numFmtId="0" fontId="20" fillId="3" borderId="7" xfId="1" applyFont="1" applyFill="1" applyBorder="1" applyAlignment="1">
      <alignment horizontal="center" vertical="center"/>
    </xf>
    <xf numFmtId="0" fontId="20" fillId="2" borderId="7" xfId="1" applyFont="1" applyFill="1" applyBorder="1" applyAlignment="1">
      <alignment horizontal="right" vertical="center"/>
    </xf>
    <xf numFmtId="1" fontId="15" fillId="2" borderId="3" xfId="1" applyNumberFormat="1" applyFont="1" applyFill="1" applyBorder="1" applyAlignment="1">
      <alignment horizontal="center" vertical="center"/>
    </xf>
    <xf numFmtId="173" fontId="15" fillId="2" borderId="2" xfId="1" applyNumberFormat="1" applyFont="1" applyFill="1" applyBorder="1" applyAlignment="1">
      <alignment horizontal="center" vertical="center"/>
    </xf>
    <xf numFmtId="173" fontId="15" fillId="2" borderId="3" xfId="1" applyNumberFormat="1" applyFont="1" applyFill="1" applyBorder="1" applyAlignment="1">
      <alignment horizontal="center" vertical="center"/>
    </xf>
    <xf numFmtId="173" fontId="15" fillId="2" borderId="7" xfId="1" applyNumberFormat="1" applyFont="1" applyFill="1" applyBorder="1" applyAlignment="1">
      <alignment horizontal="center" vertical="center"/>
    </xf>
    <xf numFmtId="173" fontId="15" fillId="2" borderId="8" xfId="1" applyNumberFormat="1" applyFont="1" applyFill="1" applyBorder="1" applyAlignment="1">
      <alignment horizontal="center" vertical="center"/>
    </xf>
    <xf numFmtId="172" fontId="15" fillId="2" borderId="2" xfId="1" applyNumberFormat="1" applyFont="1" applyFill="1" applyBorder="1" applyAlignment="1">
      <alignment horizontal="center" vertical="center"/>
    </xf>
    <xf numFmtId="172" fontId="15" fillId="2" borderId="3" xfId="1" applyNumberFormat="1" applyFont="1" applyFill="1" applyBorder="1" applyAlignment="1">
      <alignment horizontal="center" vertical="center"/>
    </xf>
    <xf numFmtId="172" fontId="15" fillId="2" borderId="7" xfId="1" applyNumberFormat="1" applyFont="1" applyFill="1" applyBorder="1" applyAlignment="1">
      <alignment horizontal="center" vertical="center"/>
    </xf>
    <xf numFmtId="172" fontId="15" fillId="2" borderId="8" xfId="1" applyNumberFormat="1" applyFont="1" applyFill="1" applyBorder="1" applyAlignment="1">
      <alignment horizontal="center" vertical="center"/>
    </xf>
    <xf numFmtId="165" fontId="20" fillId="2" borderId="6" xfId="1" applyNumberFormat="1" applyFont="1" applyFill="1" applyBorder="1" applyAlignment="1">
      <alignment horizontal="left" vertical="center"/>
    </xf>
    <xf numFmtId="165" fontId="20" fillId="2" borderId="7" xfId="1" applyNumberFormat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15" fillId="2" borderId="2" xfId="1" applyFont="1" applyFill="1" applyBorder="1" applyAlignment="1">
      <alignment horizontal="left" vertical="center"/>
    </xf>
    <xf numFmtId="0" fontId="15" fillId="2" borderId="7" xfId="1" applyFont="1" applyFill="1" applyBorder="1" applyAlignment="1">
      <alignment horizontal="left" vertical="center"/>
    </xf>
    <xf numFmtId="0" fontId="69" fillId="2" borderId="3" xfId="1" applyFont="1" applyFill="1" applyBorder="1" applyAlignment="1">
      <alignment horizontal="left" vertical="center" wrapText="1"/>
    </xf>
    <xf numFmtId="0" fontId="69" fillId="2" borderId="8" xfId="1" applyFont="1" applyFill="1" applyBorder="1" applyAlignment="1">
      <alignment horizontal="left" vertical="center" wrapText="1"/>
    </xf>
    <xf numFmtId="0" fontId="23" fillId="2" borderId="4" xfId="1" applyFont="1" applyFill="1" applyBorder="1" applyAlignment="1">
      <alignment horizontal="left" vertical="center" wrapText="1"/>
    </xf>
    <xf numFmtId="0" fontId="23" fillId="2" borderId="0" xfId="1" applyFont="1" applyFill="1" applyAlignment="1">
      <alignment horizontal="left" vertical="center" wrapText="1"/>
    </xf>
    <xf numFmtId="0" fontId="23" fillId="2" borderId="5" xfId="1" applyFont="1" applyFill="1" applyBorder="1" applyAlignment="1">
      <alignment horizontal="left" vertical="center" wrapText="1"/>
    </xf>
    <xf numFmtId="0" fontId="23" fillId="2" borderId="6" xfId="1" applyFont="1" applyFill="1" applyBorder="1" applyAlignment="1">
      <alignment horizontal="left" vertical="center" wrapText="1"/>
    </xf>
    <xf numFmtId="0" fontId="23" fillId="2" borderId="7" xfId="1" applyFont="1" applyFill="1" applyBorder="1" applyAlignment="1">
      <alignment horizontal="left" vertical="center" wrapText="1"/>
    </xf>
    <xf numFmtId="0" fontId="23" fillId="2" borderId="8" xfId="1" applyFont="1" applyFill="1" applyBorder="1" applyAlignment="1">
      <alignment horizontal="left" vertical="center" wrapText="1"/>
    </xf>
    <xf numFmtId="1" fontId="15" fillId="2" borderId="8" xfId="1" applyNumberFormat="1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left" vertical="center"/>
    </xf>
    <xf numFmtId="0" fontId="15" fillId="2" borderId="8" xfId="1" applyFont="1" applyFill="1" applyBorder="1" applyAlignment="1">
      <alignment horizontal="left" vertical="center"/>
    </xf>
    <xf numFmtId="165" fontId="15" fillId="2" borderId="2" xfId="1" applyNumberFormat="1" applyFont="1" applyFill="1" applyBorder="1" applyAlignment="1">
      <alignment horizontal="left" vertical="center"/>
    </xf>
    <xf numFmtId="165" fontId="15" fillId="2" borderId="3" xfId="1" applyNumberFormat="1" applyFont="1" applyFill="1" applyBorder="1" applyAlignment="1">
      <alignment horizontal="left" vertical="center"/>
    </xf>
    <xf numFmtId="165" fontId="15" fillId="2" borderId="7" xfId="1" applyNumberFormat="1" applyFont="1" applyFill="1" applyBorder="1" applyAlignment="1">
      <alignment horizontal="left" vertical="center"/>
    </xf>
    <xf numFmtId="165" fontId="15" fillId="2" borderId="8" xfId="1" applyNumberFormat="1" applyFont="1" applyFill="1" applyBorder="1" applyAlignment="1">
      <alignment horizontal="left" vertical="center"/>
    </xf>
    <xf numFmtId="167" fontId="15" fillId="2" borderId="2" xfId="1" applyNumberFormat="1" applyFont="1" applyFill="1" applyBorder="1" applyAlignment="1">
      <alignment horizontal="center" vertical="center"/>
    </xf>
    <xf numFmtId="167" fontId="15" fillId="2" borderId="3" xfId="1" applyNumberFormat="1" applyFont="1" applyFill="1" applyBorder="1" applyAlignment="1">
      <alignment horizontal="center" vertical="center"/>
    </xf>
    <xf numFmtId="167" fontId="15" fillId="2" borderId="7" xfId="1" applyNumberFormat="1" applyFont="1" applyFill="1" applyBorder="1" applyAlignment="1">
      <alignment horizontal="center" vertical="center"/>
    </xf>
    <xf numFmtId="167" fontId="15" fillId="2" borderId="8" xfId="1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Alignment="1">
      <alignment horizontal="center" vertical="center"/>
    </xf>
    <xf numFmtId="165" fontId="3" fillId="2" borderId="5" xfId="1" applyNumberFormat="1" applyFont="1" applyFill="1" applyBorder="1" applyAlignment="1">
      <alignment horizontal="center" vertical="center"/>
    </xf>
    <xf numFmtId="49" fontId="4" fillId="2" borderId="0" xfId="1" applyNumberFormat="1" applyFont="1" applyFill="1" applyAlignment="1">
      <alignment horizontal="center"/>
    </xf>
    <xf numFmtId="49" fontId="4" fillId="2" borderId="5" xfId="1" applyNumberFormat="1" applyFont="1" applyFill="1" applyBorder="1" applyAlignment="1">
      <alignment horizontal="center"/>
    </xf>
    <xf numFmtId="165" fontId="15" fillId="2" borderId="4" xfId="1" applyNumberFormat="1" applyFont="1" applyFill="1" applyBorder="1" applyAlignment="1">
      <alignment horizontal="center"/>
    </xf>
    <xf numFmtId="165" fontId="15" fillId="2" borderId="0" xfId="1" applyNumberFormat="1" applyFont="1" applyFill="1" applyAlignment="1">
      <alignment horizontal="center"/>
    </xf>
    <xf numFmtId="165" fontId="15" fillId="2" borderId="5" xfId="1" applyNumberFormat="1" applyFont="1" applyFill="1" applyBorder="1" applyAlignment="1">
      <alignment horizontal="center"/>
    </xf>
    <xf numFmtId="16" fontId="4" fillId="2" borderId="0" xfId="1" applyNumberFormat="1" applyFont="1" applyFill="1" applyAlignment="1">
      <alignment horizontal="center"/>
    </xf>
    <xf numFmtId="14" fontId="4" fillId="2" borderId="0" xfId="1" applyNumberFormat="1" applyFont="1" applyFill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right" vertical="center"/>
    </xf>
    <xf numFmtId="0" fontId="15" fillId="0" borderId="3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165" fontId="16" fillId="2" borderId="4" xfId="1" applyNumberFormat="1" applyFont="1" applyFill="1" applyBorder="1" applyAlignment="1">
      <alignment horizontal="center"/>
    </xf>
    <xf numFmtId="165" fontId="16" fillId="2" borderId="0" xfId="1" applyNumberFormat="1" applyFont="1" applyFill="1" applyAlignment="1">
      <alignment horizontal="center"/>
    </xf>
    <xf numFmtId="165" fontId="16" fillId="2" borderId="5" xfId="1" applyNumberFormat="1" applyFont="1" applyFill="1" applyBorder="1" applyAlignment="1">
      <alignment horizontal="center"/>
    </xf>
    <xf numFmtId="14" fontId="4" fillId="2" borderId="5" xfId="1" applyNumberFormat="1" applyFont="1" applyFill="1" applyBorder="1" applyAlignment="1">
      <alignment horizontal="center"/>
    </xf>
    <xf numFmtId="0" fontId="15" fillId="2" borderId="1" xfId="1" applyFont="1" applyFill="1" applyBorder="1" applyAlignment="1">
      <alignment horizontal="right" vertical="center"/>
    </xf>
    <xf numFmtId="0" fontId="15" fillId="2" borderId="2" xfId="1" applyFont="1" applyFill="1" applyBorder="1" applyAlignment="1">
      <alignment horizontal="right" vertical="center"/>
    </xf>
    <xf numFmtId="0" fontId="15" fillId="2" borderId="6" xfId="1" applyFont="1" applyFill="1" applyBorder="1" applyAlignment="1">
      <alignment horizontal="right" vertical="center"/>
    </xf>
    <xf numFmtId="0" fontId="15" fillId="2" borderId="7" xfId="1" applyFont="1" applyFill="1" applyBorder="1" applyAlignment="1">
      <alignment horizontal="right" vertical="center"/>
    </xf>
    <xf numFmtId="0" fontId="15" fillId="3" borderId="1" xfId="1" applyFont="1" applyFill="1" applyBorder="1" applyAlignment="1">
      <alignment horizontal="right" vertical="center"/>
    </xf>
    <xf numFmtId="0" fontId="15" fillId="3" borderId="2" xfId="1" applyFont="1" applyFill="1" applyBorder="1" applyAlignment="1">
      <alignment horizontal="right" vertical="center"/>
    </xf>
    <xf numFmtId="0" fontId="15" fillId="3" borderId="6" xfId="1" applyFont="1" applyFill="1" applyBorder="1" applyAlignment="1">
      <alignment horizontal="right" vertical="center"/>
    </xf>
    <xf numFmtId="0" fontId="15" fillId="3" borderId="7" xfId="1" applyFont="1" applyFill="1" applyBorder="1" applyAlignment="1">
      <alignment horizontal="right" vertical="center"/>
    </xf>
    <xf numFmtId="9" fontId="15" fillId="3" borderId="2" xfId="1" applyNumberFormat="1" applyFont="1" applyFill="1" applyBorder="1" applyAlignment="1" applyProtection="1">
      <alignment horizontal="left" vertical="center"/>
      <protection locked="0"/>
    </xf>
    <xf numFmtId="9" fontId="15" fillId="3" borderId="7" xfId="1" applyNumberFormat="1" applyFont="1" applyFill="1" applyBorder="1" applyAlignment="1" applyProtection="1">
      <alignment horizontal="left" vertical="center"/>
      <protection locked="0"/>
    </xf>
    <xf numFmtId="165" fontId="3" fillId="2" borderId="4" xfId="1" applyNumberFormat="1" applyFont="1" applyFill="1" applyBorder="1" applyAlignment="1">
      <alignment horizontal="center"/>
    </xf>
    <xf numFmtId="165" fontId="3" fillId="2" borderId="0" xfId="1" applyNumberFormat="1" applyFont="1" applyFill="1" applyAlignment="1">
      <alignment horizontal="center"/>
    </xf>
    <xf numFmtId="165" fontId="3" fillId="2" borderId="5" xfId="1" applyNumberFormat="1" applyFont="1" applyFill="1" applyBorder="1" applyAlignment="1">
      <alignment horizontal="center"/>
    </xf>
    <xf numFmtId="0" fontId="45" fillId="2" borderId="0" xfId="1" applyFont="1" applyFill="1" applyAlignment="1">
      <alignment horizontal="center" vertical="center"/>
    </xf>
    <xf numFmtId="0" fontId="20" fillId="4" borderId="6" xfId="1" applyFont="1" applyFill="1" applyBorder="1" applyAlignment="1">
      <alignment horizontal="center" vertical="center"/>
    </xf>
    <xf numFmtId="0" fontId="20" fillId="4" borderId="7" xfId="1" applyFont="1" applyFill="1" applyBorder="1" applyAlignment="1">
      <alignment horizontal="center" vertical="center"/>
    </xf>
    <xf numFmtId="0" fontId="70" fillId="2" borderId="0" xfId="1" applyFont="1" applyFill="1" applyAlignment="1">
      <alignment horizontal="center" vertical="center"/>
    </xf>
    <xf numFmtId="168" fontId="3" fillId="4" borderId="2" xfId="1" applyNumberFormat="1" applyFont="1" applyFill="1" applyBorder="1" applyAlignment="1">
      <alignment horizontal="center" vertical="center"/>
    </xf>
    <xf numFmtId="168" fontId="3" fillId="4" borderId="3" xfId="1" applyNumberFormat="1" applyFont="1" applyFill="1" applyBorder="1" applyAlignment="1">
      <alignment horizontal="center" vertical="center"/>
    </xf>
    <xf numFmtId="168" fontId="3" fillId="4" borderId="7" xfId="1" applyNumberFormat="1" applyFont="1" applyFill="1" applyBorder="1" applyAlignment="1">
      <alignment horizontal="center" vertical="center"/>
    </xf>
    <xf numFmtId="168" fontId="3" fillId="4" borderId="8" xfId="1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26" fillId="4" borderId="2" xfId="1" applyFont="1" applyFill="1" applyBorder="1" applyAlignment="1">
      <alignment horizontal="center" vertical="center"/>
    </xf>
    <xf numFmtId="0" fontId="26" fillId="4" borderId="7" xfId="1" applyFont="1" applyFill="1" applyBorder="1" applyAlignment="1">
      <alignment horizontal="center" vertical="center"/>
    </xf>
    <xf numFmtId="9" fontId="15" fillId="2" borderId="2" xfId="1" applyNumberFormat="1" applyFont="1" applyFill="1" applyBorder="1" applyAlignment="1">
      <alignment horizontal="left" vertical="center"/>
    </xf>
    <xf numFmtId="9" fontId="15" fillId="2" borderId="7" xfId="1" applyNumberFormat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165" fontId="48" fillId="6" borderId="56" xfId="0" applyNumberFormat="1" applyFont="1" applyFill="1" applyBorder="1" applyAlignment="1">
      <alignment horizontal="left" vertical="center"/>
    </xf>
    <xf numFmtId="0" fontId="48" fillId="6" borderId="53" xfId="0" applyFont="1" applyFill="1" applyBorder="1" applyAlignment="1">
      <alignment horizontal="left" vertical="center"/>
    </xf>
    <xf numFmtId="0" fontId="71" fillId="6" borderId="56" xfId="0" applyFont="1" applyFill="1" applyBorder="1" applyAlignment="1">
      <alignment horizontal="center" vertical="center"/>
    </xf>
    <xf numFmtId="0" fontId="71" fillId="6" borderId="53" xfId="0" applyFont="1" applyFill="1" applyBorder="1" applyAlignment="1">
      <alignment horizontal="center" vertical="center"/>
    </xf>
    <xf numFmtId="0" fontId="71" fillId="6" borderId="55" xfId="0" applyFont="1" applyFill="1" applyBorder="1" applyAlignment="1">
      <alignment horizontal="center" vertical="center"/>
    </xf>
    <xf numFmtId="0" fontId="50" fillId="6" borderId="53" xfId="0" applyFont="1" applyFill="1" applyBorder="1" applyAlignment="1">
      <alignment horizontal="center" vertical="center"/>
    </xf>
    <xf numFmtId="0" fontId="50" fillId="6" borderId="55" xfId="0" applyFont="1" applyFill="1" applyBorder="1" applyAlignment="1">
      <alignment horizontal="center" vertical="center"/>
    </xf>
    <xf numFmtId="0" fontId="50" fillId="6" borderId="59" xfId="0" applyFont="1" applyFill="1" applyBorder="1" applyAlignment="1">
      <alignment horizontal="center" vertical="center"/>
    </xf>
    <xf numFmtId="1" fontId="71" fillId="6" borderId="56" xfId="0" applyNumberFormat="1" applyFont="1" applyFill="1" applyBorder="1" applyAlignment="1">
      <alignment horizontal="center" vertical="center"/>
    </xf>
    <xf numFmtId="1" fontId="53" fillId="6" borderId="53" xfId="0" applyNumberFormat="1" applyFont="1" applyFill="1" applyBorder="1" applyAlignment="1">
      <alignment horizontal="center" vertical="center"/>
    </xf>
    <xf numFmtId="0" fontId="53" fillId="6" borderId="58" xfId="0" applyFont="1" applyFill="1" applyBorder="1" applyAlignment="1">
      <alignment horizontal="center" vertical="center"/>
    </xf>
    <xf numFmtId="0" fontId="53" fillId="6" borderId="59" xfId="0" applyFont="1" applyFill="1" applyBorder="1" applyAlignment="1">
      <alignment horizontal="center" vertical="center"/>
    </xf>
    <xf numFmtId="0" fontId="53" fillId="6" borderId="53" xfId="0" applyFont="1" applyFill="1" applyBorder="1" applyAlignment="1">
      <alignment horizontal="center" vertical="center"/>
    </xf>
    <xf numFmtId="165" fontId="67" fillId="6" borderId="56" xfId="1" applyNumberFormat="1" applyFont="1" applyFill="1" applyBorder="1" applyAlignment="1">
      <alignment horizontal="center" vertical="center"/>
    </xf>
    <xf numFmtId="165" fontId="67" fillId="6" borderId="53" xfId="1" applyNumberFormat="1" applyFont="1" applyFill="1" applyBorder="1" applyAlignment="1">
      <alignment horizontal="center" vertical="center"/>
    </xf>
    <xf numFmtId="165" fontId="67" fillId="6" borderId="55" xfId="1" applyNumberFormat="1" applyFont="1" applyFill="1" applyBorder="1" applyAlignment="1">
      <alignment horizontal="center" vertical="center"/>
    </xf>
    <xf numFmtId="165" fontId="53" fillId="6" borderId="53" xfId="0" applyNumberFormat="1" applyFont="1" applyFill="1" applyBorder="1" applyAlignment="1">
      <alignment horizontal="center" vertical="center"/>
    </xf>
    <xf numFmtId="165" fontId="53" fillId="6" borderId="58" xfId="0" applyNumberFormat="1" applyFont="1" applyFill="1" applyBorder="1" applyAlignment="1">
      <alignment horizontal="center" vertical="center"/>
    </xf>
    <xf numFmtId="1" fontId="53" fillId="6" borderId="59" xfId="0" applyNumberFormat="1" applyFont="1" applyFill="1" applyBorder="1" applyAlignment="1">
      <alignment horizontal="center" vertical="center"/>
    </xf>
    <xf numFmtId="1" fontId="71" fillId="6" borderId="53" xfId="0" applyNumberFormat="1" applyFont="1" applyFill="1" applyBorder="1" applyAlignment="1">
      <alignment horizontal="center" vertical="center"/>
    </xf>
    <xf numFmtId="1" fontId="71" fillId="6" borderId="55" xfId="0" applyNumberFormat="1" applyFont="1" applyFill="1" applyBorder="1" applyAlignment="1">
      <alignment horizontal="center" vertical="center"/>
    </xf>
    <xf numFmtId="165" fontId="53" fillId="6" borderId="59" xfId="0" applyNumberFormat="1" applyFont="1" applyFill="1" applyBorder="1" applyAlignment="1">
      <alignment horizontal="center" vertical="center"/>
    </xf>
    <xf numFmtId="168" fontId="53" fillId="6" borderId="53" xfId="1" applyNumberFormat="1" applyFont="1" applyFill="1" applyBorder="1" applyAlignment="1">
      <alignment horizontal="center" vertical="center"/>
    </xf>
    <xf numFmtId="165" fontId="68" fillId="6" borderId="53" xfId="1" applyNumberFormat="1" applyFont="1" applyFill="1" applyBorder="1" applyAlignment="1">
      <alignment horizontal="center" vertical="center"/>
    </xf>
    <xf numFmtId="0" fontId="69" fillId="2" borderId="3" xfId="1" applyFont="1" applyFill="1" applyBorder="1" applyAlignment="1">
      <alignment horizontal="center" vertical="center"/>
    </xf>
    <xf numFmtId="0" fontId="69" fillId="2" borderId="8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44" fillId="0" borderId="0" xfId="2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Potencia / </a:t>
            </a:r>
            <a:r>
              <a:rPr lang="es-ES" sz="1200" b="1" i="1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Power Diagram</a:t>
            </a: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</c:rich>
      </c:tx>
      <c:layout>
        <c:manualLayout>
          <c:xMode val="edge"/>
          <c:yMode val="edge"/>
          <c:x val="0.36488244492352689"/>
          <c:y val="3.31997035402421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75637552452928"/>
          <c:y val="0.17787418655097623"/>
          <c:w val="0.86239611656260762"/>
          <c:h val="0.69465447392324364"/>
        </c:manualLayout>
      </c:layout>
      <c:scatterChart>
        <c:scatterStyle val="smoothMarker"/>
        <c:varyColors val="0"/>
        <c:ser>
          <c:idx val="6"/>
          <c:order val="1"/>
          <c:tx>
            <c:strRef>
              <c:f>'driving mode datasheet'!$T$99</c:f>
              <c:strCache>
                <c:ptCount val="1"/>
                <c:pt idx="0">
                  <c:v>kW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datasheet'!$S$100:$S$131</c:f>
              <c:numCache>
                <c:formatCode>0</c:formatCode>
                <c:ptCount val="32"/>
                <c:pt idx="0">
                  <c:v>10</c:v>
                </c:pt>
                <c:pt idx="1">
                  <c:v>660</c:v>
                </c:pt>
                <c:pt idx="2">
                  <c:v>660</c:v>
                </c:pt>
                <c:pt idx="3">
                  <c:v>749.06854574668716</c:v>
                </c:pt>
                <c:pt idx="4">
                  <c:v>838.13709149337433</c:v>
                </c:pt>
                <c:pt idx="5">
                  <c:v>927.20563724006149</c:v>
                </c:pt>
                <c:pt idx="6">
                  <c:v>1016.2741829867487</c:v>
                </c:pt>
                <c:pt idx="7">
                  <c:v>1105.3427287334357</c:v>
                </c:pt>
                <c:pt idx="8">
                  <c:v>1194.4112744801228</c:v>
                </c:pt>
                <c:pt idx="9">
                  <c:v>1283.4798202268098</c:v>
                </c:pt>
                <c:pt idx="10">
                  <c:v>1372.5483659734969</c:v>
                </c:pt>
                <c:pt idx="11">
                  <c:v>1461.6169117201839</c:v>
                </c:pt>
                <c:pt idx="12">
                  <c:v>1550.6854574668712</c:v>
                </c:pt>
                <c:pt idx="13">
                  <c:v>1550.6854574668712</c:v>
                </c:pt>
                <c:pt idx="14">
                  <c:v>1705.7540032135585</c:v>
                </c:pt>
                <c:pt idx="15">
                  <c:v>1876.3294035349145</c:v>
                </c:pt>
                <c:pt idx="16">
                  <c:v>2063.9623438884059</c:v>
                </c:pt>
                <c:pt idx="17">
                  <c:v>2270.3585782772466</c:v>
                </c:pt>
                <c:pt idx="18">
                  <c:v>2497.3944361049716</c:v>
                </c:pt>
                <c:pt idx="19">
                  <c:v>2640</c:v>
                </c:pt>
                <c:pt idx="20">
                  <c:v>2640</c:v>
                </c:pt>
                <c:pt idx="21">
                  <c:v>2640</c:v>
                </c:pt>
                <c:pt idx="22">
                  <c:v>2640</c:v>
                </c:pt>
                <c:pt idx="23">
                  <c:v>2640</c:v>
                </c:pt>
                <c:pt idx="24">
                  <c:v>2640</c:v>
                </c:pt>
                <c:pt idx="25">
                  <c:v>2640</c:v>
                </c:pt>
                <c:pt idx="26">
                  <c:v>2640</c:v>
                </c:pt>
                <c:pt idx="27">
                  <c:v>2640</c:v>
                </c:pt>
                <c:pt idx="28">
                  <c:v>2640</c:v>
                </c:pt>
                <c:pt idx="29">
                  <c:v>2640</c:v>
                </c:pt>
                <c:pt idx="30">
                  <c:v>2640</c:v>
                </c:pt>
                <c:pt idx="31">
                  <c:v>2640</c:v>
                </c:pt>
              </c:numCache>
            </c:numRef>
          </c:xVal>
          <c:yVal>
            <c:numRef>
              <c:f>'driving mode datasheet'!$T$100:$T$131</c:f>
              <c:numCache>
                <c:formatCode>0.0</c:formatCode>
                <c:ptCount val="32"/>
                <c:pt idx="0">
                  <c:v>1.0787733501615469</c:v>
                </c:pt>
                <c:pt idx="1">
                  <c:v>71.199041110662094</c:v>
                </c:pt>
                <c:pt idx="2">
                  <c:v>71.199041110662094</c:v>
                </c:pt>
                <c:pt idx="3">
                  <c:v>71.199041110662094</c:v>
                </c:pt>
                <c:pt idx="4">
                  <c:v>71.199041110662094</c:v>
                </c:pt>
                <c:pt idx="5">
                  <c:v>71.199041110662094</c:v>
                </c:pt>
                <c:pt idx="6">
                  <c:v>71.199041110662094</c:v>
                </c:pt>
                <c:pt idx="7">
                  <c:v>71.199041110662094</c:v>
                </c:pt>
                <c:pt idx="8">
                  <c:v>71.199041110662094</c:v>
                </c:pt>
                <c:pt idx="9">
                  <c:v>71.199041110662094</c:v>
                </c:pt>
                <c:pt idx="10">
                  <c:v>71.199041110662094</c:v>
                </c:pt>
                <c:pt idx="11">
                  <c:v>71.199041110662094</c:v>
                </c:pt>
                <c:pt idx="12">
                  <c:v>71.199041110662094</c:v>
                </c:pt>
                <c:pt idx="13">
                  <c:v>71.199041110662094</c:v>
                </c:pt>
                <c:pt idx="14">
                  <c:v>65.408570073320789</c:v>
                </c:pt>
                <c:pt idx="15">
                  <c:v>60.089026092176411</c:v>
                </c:pt>
                <c:pt idx="16">
                  <c:v>55.202109641883247</c:v>
                </c:pt>
                <c:pt idx="17">
                  <c:v>50.712636018430224</c:v>
                </c:pt>
                <c:pt idx="18">
                  <c:v>46.588282017151727</c:v>
                </c:pt>
                <c:pt idx="19">
                  <c:v>44.341742467792535</c:v>
                </c:pt>
                <c:pt idx="20">
                  <c:v>44.341742467792535</c:v>
                </c:pt>
                <c:pt idx="21">
                  <c:v>44.341742467792535</c:v>
                </c:pt>
                <c:pt idx="22">
                  <c:v>44.341742467792535</c:v>
                </c:pt>
                <c:pt idx="23">
                  <c:v>44.341742467792535</c:v>
                </c:pt>
                <c:pt idx="24">
                  <c:v>44.341742467792535</c:v>
                </c:pt>
                <c:pt idx="25">
                  <c:v>44.341742467792535</c:v>
                </c:pt>
                <c:pt idx="26">
                  <c:v>44.341742467792535</c:v>
                </c:pt>
                <c:pt idx="27">
                  <c:v>44.341742467792535</c:v>
                </c:pt>
                <c:pt idx="28">
                  <c:v>44.341742467792535</c:v>
                </c:pt>
                <c:pt idx="29">
                  <c:v>44.341742467792535</c:v>
                </c:pt>
                <c:pt idx="30">
                  <c:v>44.341742467792535</c:v>
                </c:pt>
                <c:pt idx="31">
                  <c:v>44.341742467792535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5B59-4CD3-9618-F4EE3BDE3470}"/>
            </c:ext>
          </c:extLst>
        </c:ser>
        <c:ser>
          <c:idx val="5"/>
          <c:order val="2"/>
          <c:tx>
            <c:strRef>
              <c:f>'driving mode datasheet'!$Q$99</c:f>
              <c:strCache>
                <c:ptCount val="1"/>
                <c:pt idx="0">
                  <c:v>kW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datasheet'!$P$100:$P$131</c:f>
              <c:numCache>
                <c:formatCode>0</c:formatCode>
                <c:ptCount val="32"/>
                <c:pt idx="0">
                  <c:v>10</c:v>
                </c:pt>
                <c:pt idx="1">
                  <c:v>660</c:v>
                </c:pt>
                <c:pt idx="2">
                  <c:v>660</c:v>
                </c:pt>
                <c:pt idx="3">
                  <c:v>831.46188435189129</c:v>
                </c:pt>
                <c:pt idx="4">
                  <c:v>1002.9237687037826</c:v>
                </c:pt>
                <c:pt idx="5">
                  <c:v>1174.3856530556739</c:v>
                </c:pt>
                <c:pt idx="6">
                  <c:v>1345.8475374075651</c:v>
                </c:pt>
                <c:pt idx="7">
                  <c:v>1517.3094217594564</c:v>
                </c:pt>
                <c:pt idx="8">
                  <c:v>1688.7713061113477</c:v>
                </c:pt>
                <c:pt idx="9">
                  <c:v>1860.233190463239</c:v>
                </c:pt>
                <c:pt idx="10">
                  <c:v>2031.6950748151303</c:v>
                </c:pt>
                <c:pt idx="11">
                  <c:v>2203.1569591670218</c:v>
                </c:pt>
                <c:pt idx="12">
                  <c:v>2374.6188435189133</c:v>
                </c:pt>
                <c:pt idx="13">
                  <c:v>2374.6188435189133</c:v>
                </c:pt>
                <c:pt idx="14">
                  <c:v>2612.0807278708048</c:v>
                </c:pt>
                <c:pt idx="15">
                  <c:v>2640</c:v>
                </c:pt>
                <c:pt idx="16">
                  <c:v>2640</c:v>
                </c:pt>
                <c:pt idx="17">
                  <c:v>2640</c:v>
                </c:pt>
                <c:pt idx="18">
                  <c:v>2640</c:v>
                </c:pt>
                <c:pt idx="19">
                  <c:v>2640</c:v>
                </c:pt>
                <c:pt idx="20">
                  <c:v>2640</c:v>
                </c:pt>
                <c:pt idx="21">
                  <c:v>2640</c:v>
                </c:pt>
                <c:pt idx="22">
                  <c:v>2640</c:v>
                </c:pt>
                <c:pt idx="23">
                  <c:v>2640</c:v>
                </c:pt>
                <c:pt idx="24">
                  <c:v>2640</c:v>
                </c:pt>
                <c:pt idx="25">
                  <c:v>2640</c:v>
                </c:pt>
                <c:pt idx="26">
                  <c:v>2640</c:v>
                </c:pt>
                <c:pt idx="27">
                  <c:v>2640</c:v>
                </c:pt>
                <c:pt idx="28">
                  <c:v>2640</c:v>
                </c:pt>
                <c:pt idx="29">
                  <c:v>2640</c:v>
                </c:pt>
                <c:pt idx="30">
                  <c:v>2640</c:v>
                </c:pt>
                <c:pt idx="31">
                  <c:v>2640</c:v>
                </c:pt>
              </c:numCache>
            </c:numRef>
          </c:xVal>
          <c:yVal>
            <c:numRef>
              <c:f>'driving mode datasheet'!$Q$100:$Q$131</c:f>
              <c:numCache>
                <c:formatCode>0.0</c:formatCode>
                <c:ptCount val="32"/>
                <c:pt idx="0">
                  <c:v>0.20006480869007753</c:v>
                </c:pt>
                <c:pt idx="1">
                  <c:v>48.726102057177691</c:v>
                </c:pt>
                <c:pt idx="2">
                  <c:v>48.726102057177691</c:v>
                </c:pt>
                <c:pt idx="3">
                  <c:v>48.726102057177698</c:v>
                </c:pt>
                <c:pt idx="4">
                  <c:v>48.726102057177698</c:v>
                </c:pt>
                <c:pt idx="5">
                  <c:v>48.726102057177698</c:v>
                </c:pt>
                <c:pt idx="6">
                  <c:v>48.726102057177705</c:v>
                </c:pt>
                <c:pt idx="7">
                  <c:v>48.726102057177705</c:v>
                </c:pt>
                <c:pt idx="8">
                  <c:v>48.726102057177705</c:v>
                </c:pt>
                <c:pt idx="9">
                  <c:v>48.726102057177705</c:v>
                </c:pt>
                <c:pt idx="10">
                  <c:v>48.726102057177705</c:v>
                </c:pt>
                <c:pt idx="11">
                  <c:v>48.726102057177705</c:v>
                </c:pt>
                <c:pt idx="12">
                  <c:v>48.726102057177705</c:v>
                </c:pt>
                <c:pt idx="13">
                  <c:v>48.726102057177705</c:v>
                </c:pt>
                <c:pt idx="14">
                  <c:v>44.763308762165586</c:v>
                </c:pt>
                <c:pt idx="15">
                  <c:v>44.341742467792535</c:v>
                </c:pt>
                <c:pt idx="16">
                  <c:v>44.341742467792535</c:v>
                </c:pt>
                <c:pt idx="17">
                  <c:v>44.341742467792535</c:v>
                </c:pt>
                <c:pt idx="18">
                  <c:v>44.341742467792535</c:v>
                </c:pt>
                <c:pt idx="19">
                  <c:v>44.341742467792535</c:v>
                </c:pt>
                <c:pt idx="20">
                  <c:v>44.341742467792535</c:v>
                </c:pt>
                <c:pt idx="21">
                  <c:v>44.341742467792535</c:v>
                </c:pt>
                <c:pt idx="22">
                  <c:v>44.341742467792535</c:v>
                </c:pt>
                <c:pt idx="23">
                  <c:v>44.341742467792535</c:v>
                </c:pt>
                <c:pt idx="24">
                  <c:v>44.341742467792535</c:v>
                </c:pt>
                <c:pt idx="25">
                  <c:v>44.341742467792535</c:v>
                </c:pt>
                <c:pt idx="26">
                  <c:v>44.341742467792535</c:v>
                </c:pt>
                <c:pt idx="27">
                  <c:v>44.341742467792535</c:v>
                </c:pt>
                <c:pt idx="28">
                  <c:v>44.341742467792535</c:v>
                </c:pt>
                <c:pt idx="29">
                  <c:v>44.341742467792535</c:v>
                </c:pt>
                <c:pt idx="30">
                  <c:v>44.341742467792535</c:v>
                </c:pt>
                <c:pt idx="31">
                  <c:v>44.341742467792535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5B59-4CD3-9618-F4EE3BDE3470}"/>
            </c:ext>
          </c:extLst>
        </c:ser>
        <c:ser>
          <c:idx val="7"/>
          <c:order val="3"/>
          <c:tx>
            <c:strRef>
              <c:f>'driving mode datasheet'!$B$115</c:f>
              <c:strCache>
                <c:ptCount val="1"/>
                <c:pt idx="0">
                  <c:v>KW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datasheet'!$A$116:$A$135</c:f>
              <c:numCache>
                <c:formatCode>0</c:formatCode>
                <c:ptCount val="20"/>
              </c:numCache>
            </c:numRef>
          </c:xVal>
          <c:yVal>
            <c:numRef>
              <c:f>'driving mode datasheet'!$B$116:$B$135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C-5B59-4CD3-9618-F4EE3BDE3470}"/>
            </c:ext>
          </c:extLst>
        </c:ser>
        <c:ser>
          <c:idx val="8"/>
          <c:order val="4"/>
          <c:tx>
            <c:strRef>
              <c:f>'driving mode datasheet'!$C$115</c:f>
              <c:strCache>
                <c:ptCount val="1"/>
                <c:pt idx="0">
                  <c:v>KW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datasheet'!$A$116:$A$135</c:f>
              <c:numCache>
                <c:formatCode>0</c:formatCode>
                <c:ptCount val="20"/>
              </c:numCache>
            </c:numRef>
          </c:xVal>
          <c:yVal>
            <c:numRef>
              <c:f>'driving mode datasheet'!$C$116:$C$135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D-5B59-4CD3-9618-F4EE3BDE34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048512"/>
        <c:axId val="124050432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0"/>
                <c:tx>
                  <c:v>KW limit</c:v>
                </c:tx>
                <c:spPr>
                  <a:ln>
                    <a:solidFill>
                      <a:schemeClr val="bg1">
                        <a:lumMod val="65000"/>
                      </a:schemeClr>
                    </a:solidFill>
                    <a:prstDash val="dash"/>
                  </a:ln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'driving mode datasheet'!$V$100:$V$131</c15:sqref>
                        </c15:formulaRef>
                      </c:ext>
                    </c:extLst>
                    <c:numCache>
                      <c:formatCode>0</c:formatCode>
                      <c:ptCount val="32"/>
                      <c:pt idx="0">
                        <c:v>10</c:v>
                      </c:pt>
                      <c:pt idx="1">
                        <c:v>558.00075173112896</c:v>
                      </c:pt>
                      <c:pt idx="2">
                        <c:v>558.00075173112896</c:v>
                      </c:pt>
                      <c:pt idx="3">
                        <c:v>613.80082690424194</c:v>
                      </c:pt>
                      <c:pt idx="4">
                        <c:v>675.18090959466622</c:v>
                      </c:pt>
                      <c:pt idx="5">
                        <c:v>742.69900055413291</c:v>
                      </c:pt>
                      <c:pt idx="6">
                        <c:v>816.96890060954627</c:v>
                      </c:pt>
                      <c:pt idx="7">
                        <c:v>898.665790670501</c:v>
                      </c:pt>
                      <c:pt idx="8">
                        <c:v>988.53236973755122</c:v>
                      </c:pt>
                      <c:pt idx="9">
                        <c:v>1087.3856067113065</c:v>
                      </c:pt>
                      <c:pt idx="10">
                        <c:v>1196.1241673824372</c:v>
                      </c:pt>
                      <c:pt idx="11">
                        <c:v>1315.7365841206811</c:v>
                      </c:pt>
                      <c:pt idx="12">
                        <c:v>1447.3102425327493</c:v>
                      </c:pt>
                      <c:pt idx="13">
                        <c:v>1592.0412667860244</c:v>
                      </c:pt>
                      <c:pt idx="14">
                        <c:v>1751.2453934646269</c:v>
                      </c:pt>
                      <c:pt idx="15">
                        <c:v>1926.3699328110897</c:v>
                      </c:pt>
                      <c:pt idx="16">
                        <c:v>2119.0069260921987</c:v>
                      </c:pt>
                      <c:pt idx="17">
                        <c:v>2330.9076187014189</c:v>
                      </c:pt>
                      <c:pt idx="18">
                        <c:v>2563.998380571561</c:v>
                      </c:pt>
                      <c:pt idx="19">
                        <c:v>2640</c:v>
                      </c:pt>
                      <c:pt idx="20">
                        <c:v>2640</c:v>
                      </c:pt>
                      <c:pt idx="21">
                        <c:v>2640</c:v>
                      </c:pt>
                      <c:pt idx="22">
                        <c:v>2640</c:v>
                      </c:pt>
                      <c:pt idx="23">
                        <c:v>2640</c:v>
                      </c:pt>
                      <c:pt idx="24">
                        <c:v>2640</c:v>
                      </c:pt>
                      <c:pt idx="25">
                        <c:v>2640</c:v>
                      </c:pt>
                      <c:pt idx="26">
                        <c:v>2640</c:v>
                      </c:pt>
                      <c:pt idx="27">
                        <c:v>2640</c:v>
                      </c:pt>
                      <c:pt idx="28">
                        <c:v>2640</c:v>
                      </c:pt>
                      <c:pt idx="29">
                        <c:v>2640</c:v>
                      </c:pt>
                      <c:pt idx="30">
                        <c:v>2640</c:v>
                      </c:pt>
                      <c:pt idx="31">
                        <c:v>2640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'driving mode datasheet'!$W$100:$W$131</c15:sqref>
                        </c15:formulaRef>
                      </c:ext>
                    </c:extLst>
                    <c:numCache>
                      <c:formatCode>0</c:formatCode>
                      <c:ptCount val="32"/>
                      <c:pt idx="0">
                        <c:v>0.22229423187786393</c:v>
                      </c:pt>
                      <c:pt idx="1">
                        <c:v>12.404034849334197</c:v>
                      </c:pt>
                      <c:pt idx="2">
                        <c:v>12.404034849334197</c:v>
                      </c:pt>
                      <c:pt idx="3">
                        <c:v>11.395240300688428</c:v>
                      </c:pt>
                      <c:pt idx="4">
                        <c:v>10.468488930229315</c:v>
                      </c:pt>
                      <c:pt idx="5">
                        <c:v>9.6171083356366811</c:v>
                      </c:pt>
                      <c:pt idx="6">
                        <c:v>8.8349687672972035</c:v>
                      </c:pt>
                      <c:pt idx="7">
                        <c:v>8.1164389954799745</c:v>
                      </c:pt>
                      <c:pt idx="8">
                        <c:v>7.4563457667435493</c:v>
                      </c:pt>
                      <c:pt idx="9">
                        <c:v>6.8499365576697286</c:v>
                      </c:pt>
                      <c:pt idx="10">
                        <c:v>6.2928453577592824</c:v>
                      </c:pt>
                      <c:pt idx="11">
                        <c:v>5.7810612351341231</c:v>
                      </c:pt>
                      <c:pt idx="12">
                        <c:v>5.3108994587260439</c:v>
                      </c:pt>
                      <c:pt idx="13">
                        <c:v>4.8789749690382234</c:v>
                      </c:pt>
                      <c:pt idx="14">
                        <c:v>4.4821780064749417</c:v>
                      </c:pt>
                      <c:pt idx="15">
                        <c:v>4.1176517217689144</c:v>
                      </c:pt>
                      <c:pt idx="16">
                        <c:v>3.7827716073063757</c:v>
                      </c:pt>
                      <c:pt idx="17">
                        <c:v>3.4751266012600168</c:v>
                      </c:pt>
                      <c:pt idx="18">
                        <c:v>3.1925017284837858</c:v>
                      </c:pt>
                      <c:pt idx="19">
                        <c:v>3.1105733051977027</c:v>
                      </c:pt>
                      <c:pt idx="20">
                        <c:v>3.1105733051977027</c:v>
                      </c:pt>
                      <c:pt idx="21">
                        <c:v>3.1105733051977027</c:v>
                      </c:pt>
                      <c:pt idx="22">
                        <c:v>3.1105733051977027</c:v>
                      </c:pt>
                      <c:pt idx="23">
                        <c:v>3.1105733051977027</c:v>
                      </c:pt>
                      <c:pt idx="24">
                        <c:v>3.1105733051977027</c:v>
                      </c:pt>
                      <c:pt idx="25">
                        <c:v>3.1105733051977027</c:v>
                      </c:pt>
                      <c:pt idx="26">
                        <c:v>3.1105733051977027</c:v>
                      </c:pt>
                      <c:pt idx="27">
                        <c:v>3.1105733051977027</c:v>
                      </c:pt>
                      <c:pt idx="28">
                        <c:v>3.1105733051977027</c:v>
                      </c:pt>
                      <c:pt idx="29">
                        <c:v>3.1105733051977027</c:v>
                      </c:pt>
                      <c:pt idx="30">
                        <c:v>3.1105733051977027</c:v>
                      </c:pt>
                      <c:pt idx="31">
                        <c:v>3.1105733051977027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1-5B59-4CD3-9618-F4EE3BDE3470}"/>
                  </c:ext>
                </c:extLst>
              </c15:ser>
            </c15:filteredScatterSeries>
            <c15:filteredScatterSeries>
              <c15:ser>
                <c:idx val="1"/>
                <c:order val="5"/>
                <c:tx>
                  <c:v>kW S6</c:v>
                </c:tx>
                <c:spPr>
                  <a:ln w="12700">
                    <a:solidFill>
                      <a:srgbClr val="000000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Lit>
                    <c:formatCode>0</c:formatCode>
                    <c:ptCount val="32"/>
                    <c:pt idx="0">
                      <c:v>10</c:v>
                    </c:pt>
                    <c:pt idx="1">
                      <c:v>810</c:v>
                    </c:pt>
                    <c:pt idx="2">
                      <c:v>810</c:v>
                    </c:pt>
                    <c:pt idx="3">
                      <c:v>870.82274363045656</c:v>
                    </c:pt>
                    <c:pt idx="4">
                      <c:v>931.64548726091311</c:v>
                    </c:pt>
                    <c:pt idx="5">
                      <c:v>992.46823089136967</c:v>
                    </c:pt>
                    <c:pt idx="6">
                      <c:v>1053.2909745218262</c:v>
                    </c:pt>
                    <c:pt idx="7">
                      <c:v>1114.1137181522829</c:v>
                    </c:pt>
                    <c:pt idx="8">
                      <c:v>1174.9364617827396</c:v>
                    </c:pt>
                    <c:pt idx="9">
                      <c:v>1235.7592054131962</c:v>
                    </c:pt>
                    <c:pt idx="10">
                      <c:v>1296.5819490436529</c:v>
                    </c:pt>
                    <c:pt idx="11">
                      <c:v>1357.4046926741096</c:v>
                    </c:pt>
                    <c:pt idx="12">
                      <c:v>1418.2274363045658</c:v>
                    </c:pt>
                    <c:pt idx="13">
                      <c:v>1418.2274363045658</c:v>
                    </c:pt>
                    <c:pt idx="14">
                      <c:v>1560.0501799350225</c:v>
                    </c:pt>
                    <c:pt idx="15">
                      <c:v>1716.0551979285249</c:v>
                    </c:pt>
                    <c:pt idx="16">
                      <c:v>1887.6607177213775</c:v>
                    </c:pt>
                    <c:pt idx="17">
                      <c:v>2076.4267894935156</c:v>
                    </c:pt>
                    <c:pt idx="18">
                      <c:v>2284.0694684428672</c:v>
                    </c:pt>
                    <c:pt idx="19">
                      <c:v>2512.4764152871539</c:v>
                    </c:pt>
                    <c:pt idx="20">
                      <c:v>2763.7240568158695</c:v>
                    </c:pt>
                    <c:pt idx="21">
                      <c:v>3040.0964624974567</c:v>
                    </c:pt>
                    <c:pt idx="22">
                      <c:v>3240</c:v>
                    </c:pt>
                    <c:pt idx="23">
                      <c:v>3240</c:v>
                    </c:pt>
                    <c:pt idx="24">
                      <c:v>3240</c:v>
                    </c:pt>
                    <c:pt idx="25">
                      <c:v>3240</c:v>
                    </c:pt>
                    <c:pt idx="26">
                      <c:v>3240</c:v>
                    </c:pt>
                    <c:pt idx="27">
                      <c:v>3240</c:v>
                    </c:pt>
                    <c:pt idx="28">
                      <c:v>3240</c:v>
                    </c:pt>
                    <c:pt idx="29">
                      <c:v>3240</c:v>
                    </c:pt>
                    <c:pt idx="30">
                      <c:v>3240</c:v>
                    </c:pt>
                    <c:pt idx="31">
                      <c:v>3240</c:v>
                    </c:pt>
                  </c:numLit>
                </c:xVal>
                <c:yVal>
                  <c:numLit>
                    <c:formatCode>0.0</c:formatCode>
                    <c:ptCount val="32"/>
                    <c:pt idx="0">
                      <c:v>0.14101293917645319</c:v>
                    </c:pt>
                    <c:pt idx="1">
                      <c:v>11.422048073292707</c:v>
                    </c:pt>
                    <c:pt idx="2">
                      <c:v>11.422048073292707</c:v>
                    </c:pt>
                    <c:pt idx="3">
                      <c:v>11.422048073292707</c:v>
                    </c:pt>
                    <c:pt idx="4">
                      <c:v>11.422048073292707</c:v>
                    </c:pt>
                    <c:pt idx="5">
                      <c:v>11.422048073292707</c:v>
                    </c:pt>
                    <c:pt idx="6">
                      <c:v>11.422048073292707</c:v>
                    </c:pt>
                    <c:pt idx="7">
                      <c:v>11.422048073292707</c:v>
                    </c:pt>
                    <c:pt idx="8">
                      <c:v>11.422048073292707</c:v>
                    </c:pt>
                    <c:pt idx="9">
                      <c:v>11.422048073292707</c:v>
                    </c:pt>
                    <c:pt idx="10">
                      <c:v>11.422048073292707</c:v>
                    </c:pt>
                    <c:pt idx="11">
                      <c:v>11.422048073292707</c:v>
                    </c:pt>
                    <c:pt idx="12">
                      <c:v>11.422048073292707</c:v>
                    </c:pt>
                    <c:pt idx="13">
                      <c:v>11.422048073292707</c:v>
                    </c:pt>
                    <c:pt idx="14">
                      <c:v>10.59360468060463</c:v>
                    </c:pt>
                    <c:pt idx="15">
                      <c:v>9.8252484500861144</c:v>
                    </c:pt>
                    <c:pt idx="16">
                      <c:v>9.1126212480499955</c:v>
                    </c:pt>
                    <c:pt idx="17">
                      <c:v>8.4516810371023663</c:v>
                    </c:pt>
                    <c:pt idx="18">
                      <c:v>7.8386789496163036</c:v>
                    </c:pt>
                    <c:pt idx="19">
                      <c:v>7.2701380240709987</c:v>
                    </c:pt>
                    <c:pt idx="20">
                      <c:v>6.7428334836484396</c:v>
                    </c:pt>
                    <c:pt idx="21">
                      <c:v>6.2537744452273047</c:v>
                    </c:pt>
                    <c:pt idx="22">
                      <c:v>5.946927897661463</c:v>
                    </c:pt>
                    <c:pt idx="23">
                      <c:v>5.946927897661463</c:v>
                    </c:pt>
                    <c:pt idx="24">
                      <c:v>5.946927897661463</c:v>
                    </c:pt>
                    <c:pt idx="25">
                      <c:v>5.946927897661463</c:v>
                    </c:pt>
                    <c:pt idx="26">
                      <c:v>5.946927897661463</c:v>
                    </c:pt>
                    <c:pt idx="27">
                      <c:v>5.946927897661463</c:v>
                    </c:pt>
                    <c:pt idx="28">
                      <c:v>5.946927897661463</c:v>
                    </c:pt>
                    <c:pt idx="29">
                      <c:v>5.946927897661463</c:v>
                    </c:pt>
                    <c:pt idx="30">
                      <c:v>5.946927897661463</c:v>
                    </c:pt>
                    <c:pt idx="31">
                      <c:v>5.946927897661463</c:v>
                    </c:pt>
                  </c:numLit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59-4CD3-9618-F4EE3BDE3470}"/>
                  </c:ext>
                </c:extLst>
              </c15:ser>
            </c15:filteredScatterSeries>
            <c15:filteredScatterSeries>
              <c15:ser>
                <c:idx val="0"/>
                <c:order val="6"/>
                <c:tx>
                  <c:v>kW S1</c:v>
                </c:tx>
                <c:spPr>
                  <a:ln w="38100">
                    <a:solidFill>
                      <a:srgbClr val="000000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Lit>
                    <c:formatCode>0</c:formatCode>
                    <c:ptCount val="32"/>
                    <c:pt idx="0">
                      <c:v>10</c:v>
                    </c:pt>
                    <c:pt idx="1">
                      <c:v>810</c:v>
                    </c:pt>
                    <c:pt idx="2">
                      <c:v>810</c:v>
                    </c:pt>
                    <c:pt idx="3">
                      <c:v>1053</c:v>
                    </c:pt>
                    <c:pt idx="4">
                      <c:v>1296</c:v>
                    </c:pt>
                    <c:pt idx="5">
                      <c:v>1539</c:v>
                    </c:pt>
                    <c:pt idx="6">
                      <c:v>1782</c:v>
                    </c:pt>
                    <c:pt idx="7">
                      <c:v>2025</c:v>
                    </c:pt>
                    <c:pt idx="8">
                      <c:v>2268</c:v>
                    </c:pt>
                    <c:pt idx="9">
                      <c:v>2511</c:v>
                    </c:pt>
                    <c:pt idx="10">
                      <c:v>2754</c:v>
                    </c:pt>
                    <c:pt idx="11">
                      <c:v>2997</c:v>
                    </c:pt>
                    <c:pt idx="12">
                      <c:v>3240</c:v>
                    </c:pt>
                    <c:pt idx="13">
                      <c:v>3240</c:v>
                    </c:pt>
                    <c:pt idx="14">
                      <c:v>3240</c:v>
                    </c:pt>
                    <c:pt idx="15">
                      <c:v>3240</c:v>
                    </c:pt>
                    <c:pt idx="16">
                      <c:v>3240</c:v>
                    </c:pt>
                    <c:pt idx="17">
                      <c:v>3240</c:v>
                    </c:pt>
                    <c:pt idx="18">
                      <c:v>3240</c:v>
                    </c:pt>
                    <c:pt idx="19">
                      <c:v>3240</c:v>
                    </c:pt>
                    <c:pt idx="20">
                      <c:v>3240</c:v>
                    </c:pt>
                    <c:pt idx="21">
                      <c:v>3240</c:v>
                    </c:pt>
                    <c:pt idx="22">
                      <c:v>3240</c:v>
                    </c:pt>
                    <c:pt idx="23">
                      <c:v>3240</c:v>
                    </c:pt>
                    <c:pt idx="24">
                      <c:v>3240</c:v>
                    </c:pt>
                    <c:pt idx="25">
                      <c:v>3240</c:v>
                    </c:pt>
                    <c:pt idx="26">
                      <c:v>3240</c:v>
                    </c:pt>
                    <c:pt idx="27">
                      <c:v>3240</c:v>
                    </c:pt>
                    <c:pt idx="28">
                      <c:v>3240</c:v>
                    </c:pt>
                    <c:pt idx="29">
                      <c:v>3240</c:v>
                    </c:pt>
                    <c:pt idx="30">
                      <c:v>3240</c:v>
                    </c:pt>
                    <c:pt idx="31">
                      <c:v>3240</c:v>
                    </c:pt>
                  </c:numLit>
                </c:xVal>
                <c:yVal>
                  <c:numLit>
                    <c:formatCode>0.0</c:formatCode>
                    <c:ptCount val="32"/>
                    <c:pt idx="0">
                      <c:v>0.19006156825557366</c:v>
                    </c:pt>
                    <c:pt idx="1">
                      <c:v>5.5134951070500868</c:v>
                    </c:pt>
                    <c:pt idx="2">
                      <c:v>5.5134951070500868</c:v>
                    </c:pt>
                    <c:pt idx="3">
                      <c:v>5.5134951070500868</c:v>
                    </c:pt>
                    <c:pt idx="4">
                      <c:v>5.5134951070500868</c:v>
                    </c:pt>
                    <c:pt idx="5">
                      <c:v>5.5134951070500868</c:v>
                    </c:pt>
                    <c:pt idx="6">
                      <c:v>5.5134951070500868</c:v>
                    </c:pt>
                    <c:pt idx="7">
                      <c:v>5.5134951070500868</c:v>
                    </c:pt>
                    <c:pt idx="8">
                      <c:v>5.5134951070500868</c:v>
                    </c:pt>
                    <c:pt idx="9">
                      <c:v>5.5134951070500868</c:v>
                    </c:pt>
                    <c:pt idx="10">
                      <c:v>5.5134951070500868</c:v>
                    </c:pt>
                    <c:pt idx="11">
                      <c:v>5.5134951070500868</c:v>
                    </c:pt>
                    <c:pt idx="12">
                      <c:v>5.5134951070500868</c:v>
                    </c:pt>
                    <c:pt idx="13">
                      <c:v>5.5134951070500868</c:v>
                    </c:pt>
                    <c:pt idx="14">
                      <c:v>5.5134951070500868</c:v>
                    </c:pt>
                    <c:pt idx="15">
                      <c:v>5.5134951070500868</c:v>
                    </c:pt>
                    <c:pt idx="16">
                      <c:v>5.5134951070500868</c:v>
                    </c:pt>
                    <c:pt idx="17">
                      <c:v>5.5134951070500868</c:v>
                    </c:pt>
                    <c:pt idx="18">
                      <c:v>5.5134951070500868</c:v>
                    </c:pt>
                    <c:pt idx="19">
                      <c:v>5.5134951070500868</c:v>
                    </c:pt>
                    <c:pt idx="20">
                      <c:v>5.5134951070500868</c:v>
                    </c:pt>
                    <c:pt idx="21">
                      <c:v>5.5134951070500868</c:v>
                    </c:pt>
                    <c:pt idx="22">
                      <c:v>5.5134951070500868</c:v>
                    </c:pt>
                    <c:pt idx="23">
                      <c:v>5.5134951070500868</c:v>
                    </c:pt>
                    <c:pt idx="24">
                      <c:v>5.5134951070500868</c:v>
                    </c:pt>
                    <c:pt idx="25">
                      <c:v>5.5134951070500868</c:v>
                    </c:pt>
                    <c:pt idx="26">
                      <c:v>5.5134951070500868</c:v>
                    </c:pt>
                    <c:pt idx="27">
                      <c:v>5.5134951070500868</c:v>
                    </c:pt>
                    <c:pt idx="28">
                      <c:v>5.5134951070500868</c:v>
                    </c:pt>
                    <c:pt idx="29">
                      <c:v>5.5134951070500868</c:v>
                    </c:pt>
                    <c:pt idx="30">
                      <c:v>5.5134951070500868</c:v>
                    </c:pt>
                    <c:pt idx="31">
                      <c:v>5.5134951070500868</c:v>
                    </c:pt>
                  </c:numLit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59-4CD3-9618-F4EE3BDE3470}"/>
                  </c:ext>
                </c:extLst>
              </c15:ser>
            </c15:filteredScatterSeries>
            <c15:filteredScatterSeries>
              <c15:ser>
                <c:idx val="2"/>
                <c:order val="7"/>
                <c:tx>
                  <c:v>KW 1</c:v>
                </c:tx>
                <c:spPr>
                  <a:ln w="38100">
                    <a:solidFill>
                      <a:srgbClr val="0000FF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Lit>
                    <c:formatCode>General</c:formatCode>
                    <c:ptCount val="20"/>
                  </c:numLit>
                </c:xVal>
                <c:yVal>
                  <c:numLit>
                    <c:formatCode>General</c:formatCode>
                    <c:ptCount val="20"/>
                  </c:numLit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59-4CD3-9618-F4EE3BDE3470}"/>
                  </c:ext>
                </c:extLst>
              </c15:ser>
            </c15:filteredScatterSeries>
            <c15:filteredScatterSeries>
              <c15:ser>
                <c:idx val="3"/>
                <c:order val="8"/>
                <c:tx>
                  <c:v>KW 2</c:v>
                </c:tx>
                <c:spPr>
                  <a:ln w="381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Lit>
                    <c:formatCode>General</c:formatCode>
                    <c:ptCount val="20"/>
                  </c:numLit>
                </c:xVal>
                <c:yVal>
                  <c:numLit>
                    <c:formatCode>General</c:formatCode>
                    <c:ptCount val="20"/>
                  </c:numLit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59-4CD3-9618-F4EE3BDE3470}"/>
                  </c:ext>
                </c:extLst>
              </c15:ser>
            </c15:filteredScatterSeries>
          </c:ext>
        </c:extLst>
      </c:scatterChart>
      <c:valAx>
        <c:axId val="124048512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692603872629128"/>
              <c:y val="0.9310969568294410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4050432"/>
        <c:crosses val="autoZero"/>
        <c:crossBetween val="midCat"/>
      </c:valAx>
      <c:valAx>
        <c:axId val="1240504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KW</a:t>
                </a:r>
              </a:p>
            </c:rich>
          </c:tx>
          <c:layout>
            <c:manualLayout>
              <c:xMode val="edge"/>
              <c:yMode val="edge"/>
              <c:x val="3.4137714799842366E-2"/>
              <c:y val="0.4527005143465346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4048512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146806227181589"/>
          <c:y val="9.6625151155468686E-2"/>
          <c:w val="0.86352895104063121"/>
          <c:h val="7.263041164440435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Par / </a:t>
            </a:r>
            <a:r>
              <a:rPr lang="es-ES" sz="1200" b="1" i="1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Torque Diagram</a:t>
            </a: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</c:rich>
      </c:tx>
      <c:layout>
        <c:manualLayout>
          <c:xMode val="edge"/>
          <c:yMode val="edge"/>
          <c:x val="0.35427833873706976"/>
          <c:y val="3.036870391201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19085996603371"/>
          <c:y val="0.18568292146276591"/>
          <c:w val="0.86151563995676972"/>
          <c:h val="0.67023076453225727"/>
        </c:manualLayout>
      </c:layout>
      <c:scatterChart>
        <c:scatterStyle val="smoothMarker"/>
        <c:varyColors val="0"/>
        <c:ser>
          <c:idx val="6"/>
          <c:order val="1"/>
          <c:tx>
            <c:strRef>
              <c:f>'driving mode datasheet'!$U$99</c:f>
              <c:strCache>
                <c:ptCount val="1"/>
                <c:pt idx="0">
                  <c:v>Nm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datasheet'!$S$100:$S$131</c:f>
              <c:numCache>
                <c:formatCode>0</c:formatCode>
                <c:ptCount val="32"/>
                <c:pt idx="0">
                  <c:v>10</c:v>
                </c:pt>
                <c:pt idx="1">
                  <c:v>660</c:v>
                </c:pt>
                <c:pt idx="2">
                  <c:v>660</c:v>
                </c:pt>
                <c:pt idx="3">
                  <c:v>749.06854574668716</c:v>
                </c:pt>
                <c:pt idx="4">
                  <c:v>838.13709149337433</c:v>
                </c:pt>
                <c:pt idx="5">
                  <c:v>927.20563724006149</c:v>
                </c:pt>
                <c:pt idx="6">
                  <c:v>1016.2741829867487</c:v>
                </c:pt>
                <c:pt idx="7">
                  <c:v>1105.3427287334357</c:v>
                </c:pt>
                <c:pt idx="8">
                  <c:v>1194.4112744801228</c:v>
                </c:pt>
                <c:pt idx="9">
                  <c:v>1283.4798202268098</c:v>
                </c:pt>
                <c:pt idx="10">
                  <c:v>1372.5483659734969</c:v>
                </c:pt>
                <c:pt idx="11">
                  <c:v>1461.6169117201839</c:v>
                </c:pt>
                <c:pt idx="12">
                  <c:v>1550.6854574668712</c:v>
                </c:pt>
                <c:pt idx="13">
                  <c:v>1550.6854574668712</c:v>
                </c:pt>
                <c:pt idx="14">
                  <c:v>1705.7540032135585</c:v>
                </c:pt>
                <c:pt idx="15">
                  <c:v>1876.3294035349145</c:v>
                </c:pt>
                <c:pt idx="16">
                  <c:v>2063.9623438884059</c:v>
                </c:pt>
                <c:pt idx="17">
                  <c:v>2270.3585782772466</c:v>
                </c:pt>
                <c:pt idx="18">
                  <c:v>2497.3944361049716</c:v>
                </c:pt>
                <c:pt idx="19">
                  <c:v>2640</c:v>
                </c:pt>
                <c:pt idx="20">
                  <c:v>2640</c:v>
                </c:pt>
                <c:pt idx="21">
                  <c:v>2640</c:v>
                </c:pt>
                <c:pt idx="22">
                  <c:v>2640</c:v>
                </c:pt>
                <c:pt idx="23">
                  <c:v>2640</c:v>
                </c:pt>
                <c:pt idx="24">
                  <c:v>2640</c:v>
                </c:pt>
                <c:pt idx="25">
                  <c:v>2640</c:v>
                </c:pt>
                <c:pt idx="26">
                  <c:v>2640</c:v>
                </c:pt>
                <c:pt idx="27">
                  <c:v>2640</c:v>
                </c:pt>
                <c:pt idx="28">
                  <c:v>2640</c:v>
                </c:pt>
                <c:pt idx="29">
                  <c:v>2640</c:v>
                </c:pt>
                <c:pt idx="30">
                  <c:v>2640</c:v>
                </c:pt>
                <c:pt idx="31">
                  <c:v>2640</c:v>
                </c:pt>
              </c:numCache>
            </c:numRef>
          </c:xVal>
          <c:yVal>
            <c:numRef>
              <c:f>'driving mode datasheet'!$U$100:$U$131</c:f>
              <c:numCache>
                <c:formatCode>0.0</c:formatCode>
                <c:ptCount val="32"/>
                <c:pt idx="0">
                  <c:v>1030.1526669240857</c:v>
                </c:pt>
                <c:pt idx="1">
                  <c:v>1030.1526669240857</c:v>
                </c:pt>
                <c:pt idx="2">
                  <c:v>1030.1526669240857</c:v>
                </c:pt>
                <c:pt idx="3">
                  <c:v>907.66160724604617</c:v>
                </c:pt>
                <c:pt idx="4">
                  <c:v>811.20471468273081</c:v>
                </c:pt>
                <c:pt idx="5">
                  <c:v>733.27936421277866</c:v>
                </c:pt>
                <c:pt idx="6">
                  <c:v>669.01311826275321</c:v>
                </c:pt>
                <c:pt idx="7">
                  <c:v>615.1040238433244</c:v>
                </c:pt>
                <c:pt idx="8">
                  <c:v>569.23504884515501</c:v>
                </c:pt>
                <c:pt idx="9">
                  <c:v>529.73233350076987</c:v>
                </c:pt>
                <c:pt idx="10">
                  <c:v>495.35650402211405</c:v>
                </c:pt>
                <c:pt idx="11">
                  <c:v>465.17028827322343</c:v>
                </c:pt>
                <c:pt idx="12">
                  <c:v>438.45175492943059</c:v>
                </c:pt>
                <c:pt idx="13">
                  <c:v>438.45175492943059</c:v>
                </c:pt>
                <c:pt idx="14">
                  <c:v>366.17579890638967</c:v>
                </c:pt>
                <c:pt idx="15">
                  <c:v>305.81407007097926</c:v>
                </c:pt>
                <c:pt idx="16">
                  <c:v>255.40258458556991</c:v>
                </c:pt>
                <c:pt idx="17">
                  <c:v>213.3011087352823</c:v>
                </c:pt>
                <c:pt idx="18">
                  <c:v>178.13979079940484</c:v>
                </c:pt>
                <c:pt idx="19">
                  <c:v>160.3910795240227</c:v>
                </c:pt>
                <c:pt idx="20">
                  <c:v>160.3910795240227</c:v>
                </c:pt>
                <c:pt idx="21">
                  <c:v>160.3910795240227</c:v>
                </c:pt>
                <c:pt idx="22">
                  <c:v>160.3910795240227</c:v>
                </c:pt>
                <c:pt idx="23">
                  <c:v>160.3910795240227</c:v>
                </c:pt>
                <c:pt idx="24">
                  <c:v>160.3910795240227</c:v>
                </c:pt>
                <c:pt idx="25">
                  <c:v>160.3910795240227</c:v>
                </c:pt>
                <c:pt idx="26">
                  <c:v>160.3910795240227</c:v>
                </c:pt>
                <c:pt idx="27">
                  <c:v>160.3910795240227</c:v>
                </c:pt>
                <c:pt idx="28">
                  <c:v>160.3910795240227</c:v>
                </c:pt>
                <c:pt idx="29">
                  <c:v>160.3910795240227</c:v>
                </c:pt>
                <c:pt idx="30">
                  <c:v>160.3910795240227</c:v>
                </c:pt>
                <c:pt idx="31">
                  <c:v>160.3910795240227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A-821A-4DE3-B97F-A75A0BA72F63}"/>
            </c:ext>
          </c:extLst>
        </c:ser>
        <c:ser>
          <c:idx val="5"/>
          <c:order val="2"/>
          <c:tx>
            <c:strRef>
              <c:f>'driving mode datasheet'!$R$99</c:f>
              <c:strCache>
                <c:ptCount val="1"/>
                <c:pt idx="0">
                  <c:v>Nm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datasheet'!$P$100:$P$131</c:f>
              <c:numCache>
                <c:formatCode>0</c:formatCode>
                <c:ptCount val="32"/>
                <c:pt idx="0">
                  <c:v>10</c:v>
                </c:pt>
                <c:pt idx="1">
                  <c:v>660</c:v>
                </c:pt>
                <c:pt idx="2">
                  <c:v>660</c:v>
                </c:pt>
                <c:pt idx="3">
                  <c:v>831.46188435189129</c:v>
                </c:pt>
                <c:pt idx="4">
                  <c:v>1002.9237687037826</c:v>
                </c:pt>
                <c:pt idx="5">
                  <c:v>1174.3856530556739</c:v>
                </c:pt>
                <c:pt idx="6">
                  <c:v>1345.8475374075651</c:v>
                </c:pt>
                <c:pt idx="7">
                  <c:v>1517.3094217594564</c:v>
                </c:pt>
                <c:pt idx="8">
                  <c:v>1688.7713061113477</c:v>
                </c:pt>
                <c:pt idx="9">
                  <c:v>1860.233190463239</c:v>
                </c:pt>
                <c:pt idx="10">
                  <c:v>2031.6950748151303</c:v>
                </c:pt>
                <c:pt idx="11">
                  <c:v>2203.1569591670218</c:v>
                </c:pt>
                <c:pt idx="12">
                  <c:v>2374.6188435189133</c:v>
                </c:pt>
                <c:pt idx="13">
                  <c:v>2374.6188435189133</c:v>
                </c:pt>
                <c:pt idx="14">
                  <c:v>2612.0807278708048</c:v>
                </c:pt>
                <c:pt idx="15">
                  <c:v>2640</c:v>
                </c:pt>
                <c:pt idx="16">
                  <c:v>2640</c:v>
                </c:pt>
                <c:pt idx="17">
                  <c:v>2640</c:v>
                </c:pt>
                <c:pt idx="18">
                  <c:v>2640</c:v>
                </c:pt>
                <c:pt idx="19">
                  <c:v>2640</c:v>
                </c:pt>
                <c:pt idx="20">
                  <c:v>2640</c:v>
                </c:pt>
                <c:pt idx="21">
                  <c:v>2640</c:v>
                </c:pt>
                <c:pt idx="22">
                  <c:v>2640</c:v>
                </c:pt>
                <c:pt idx="23">
                  <c:v>2640</c:v>
                </c:pt>
                <c:pt idx="24">
                  <c:v>2640</c:v>
                </c:pt>
                <c:pt idx="25">
                  <c:v>2640</c:v>
                </c:pt>
                <c:pt idx="26">
                  <c:v>2640</c:v>
                </c:pt>
                <c:pt idx="27">
                  <c:v>2640</c:v>
                </c:pt>
                <c:pt idx="28">
                  <c:v>2640</c:v>
                </c:pt>
                <c:pt idx="29">
                  <c:v>2640</c:v>
                </c:pt>
                <c:pt idx="30">
                  <c:v>2640</c:v>
                </c:pt>
                <c:pt idx="31">
                  <c:v>2640</c:v>
                </c:pt>
              </c:numCache>
            </c:numRef>
          </c:xVal>
          <c:yVal>
            <c:numRef>
              <c:f>'driving mode datasheet'!$R$100:$R$131</c:f>
              <c:numCache>
                <c:formatCode>0.0</c:formatCode>
                <c:ptCount val="32"/>
                <c:pt idx="0">
                  <c:v>705</c:v>
                </c:pt>
                <c:pt idx="1">
                  <c:v>705</c:v>
                </c:pt>
                <c:pt idx="2">
                  <c:v>705</c:v>
                </c:pt>
                <c:pt idx="3">
                  <c:v>559.61675304297626</c:v>
                </c:pt>
                <c:pt idx="4">
                  <c:v>463.94353640792832</c:v>
                </c:pt>
                <c:pt idx="5">
                  <c:v>396.20715630280409</c:v>
                </c:pt>
                <c:pt idx="6">
                  <c:v>345.73009725624854</c:v>
                </c:pt>
                <c:pt idx="7">
                  <c:v>306.66124742074231</c:v>
                </c:pt>
                <c:pt idx="8">
                  <c:v>275.52576143150134</c:v>
                </c:pt>
                <c:pt idx="9">
                  <c:v>250.12993122874568</c:v>
                </c:pt>
                <c:pt idx="10">
                  <c:v>229.02058766980034</c:v>
                </c:pt>
                <c:pt idx="11">
                  <c:v>211.19693631629522</c:v>
                </c:pt>
                <c:pt idx="12">
                  <c:v>195.94723644594632</c:v>
                </c:pt>
                <c:pt idx="13">
                  <c:v>195.94723644594632</c:v>
                </c:pt>
                <c:pt idx="14">
                  <c:v>163.6465929088186</c:v>
                </c:pt>
                <c:pt idx="15">
                  <c:v>160.39107952402273</c:v>
                </c:pt>
                <c:pt idx="16">
                  <c:v>160.39107952402273</c:v>
                </c:pt>
                <c:pt idx="17">
                  <c:v>160.39107952402273</c:v>
                </c:pt>
                <c:pt idx="18">
                  <c:v>160.39107952402273</c:v>
                </c:pt>
                <c:pt idx="19">
                  <c:v>160.39107952402273</c:v>
                </c:pt>
                <c:pt idx="20">
                  <c:v>160.39107952402273</c:v>
                </c:pt>
                <c:pt idx="21">
                  <c:v>160.39107952402273</c:v>
                </c:pt>
                <c:pt idx="22">
                  <c:v>160.39107952402273</c:v>
                </c:pt>
                <c:pt idx="23">
                  <c:v>160.39107952402273</c:v>
                </c:pt>
                <c:pt idx="24">
                  <c:v>160.39107952402273</c:v>
                </c:pt>
                <c:pt idx="25">
                  <c:v>160.39107952402273</c:v>
                </c:pt>
                <c:pt idx="26">
                  <c:v>160.39107952402273</c:v>
                </c:pt>
                <c:pt idx="27">
                  <c:v>160.39107952402273</c:v>
                </c:pt>
                <c:pt idx="28">
                  <c:v>160.39107952402273</c:v>
                </c:pt>
                <c:pt idx="29">
                  <c:v>160.39107952402273</c:v>
                </c:pt>
                <c:pt idx="30">
                  <c:v>160.39107952402273</c:v>
                </c:pt>
                <c:pt idx="31">
                  <c:v>160.39107952402273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9-821A-4DE3-B97F-A75A0BA72F63}"/>
            </c:ext>
          </c:extLst>
        </c:ser>
        <c:ser>
          <c:idx val="7"/>
          <c:order val="3"/>
          <c:tx>
            <c:strRef>
              <c:f>'driving mode datasheet'!$B$91</c:f>
              <c:strCache>
                <c:ptCount val="1"/>
                <c:pt idx="0">
                  <c:v>Nm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'driving mode datasheet'!$B$92:$B$111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B-821A-4DE3-B97F-A75A0BA72F63}"/>
            </c:ext>
          </c:extLst>
        </c:ser>
        <c:ser>
          <c:idx val="8"/>
          <c:order val="4"/>
          <c:tx>
            <c:strRef>
              <c:f>'driving mode datasheet'!$C$91</c:f>
              <c:strCache>
                <c:ptCount val="1"/>
                <c:pt idx="0">
                  <c:v>Nm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'driving mode datasheet'!$C$92:$C$111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C-821A-4DE3-B97F-A75A0BA72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176064"/>
        <c:axId val="125215104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0"/>
                <c:tx>
                  <c:v>Nm Limit</c:v>
                </c:tx>
                <c:spPr>
                  <a:ln>
                    <a:solidFill>
                      <a:schemeClr val="bg1">
                        <a:lumMod val="65000"/>
                      </a:schemeClr>
                    </a:solidFill>
                    <a:prstDash val="dash"/>
                  </a:ln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'driving mode datasheet'!$V$100:$V$131</c15:sqref>
                        </c15:formulaRef>
                      </c:ext>
                    </c:extLst>
                    <c:numCache>
                      <c:formatCode>0</c:formatCode>
                      <c:ptCount val="32"/>
                      <c:pt idx="0">
                        <c:v>10</c:v>
                      </c:pt>
                      <c:pt idx="1">
                        <c:v>558.00075173112896</c:v>
                      </c:pt>
                      <c:pt idx="2">
                        <c:v>558.00075173112896</c:v>
                      </c:pt>
                      <c:pt idx="3">
                        <c:v>613.80082690424194</c:v>
                      </c:pt>
                      <c:pt idx="4">
                        <c:v>675.18090959466622</c:v>
                      </c:pt>
                      <c:pt idx="5">
                        <c:v>742.69900055413291</c:v>
                      </c:pt>
                      <c:pt idx="6">
                        <c:v>816.96890060954627</c:v>
                      </c:pt>
                      <c:pt idx="7">
                        <c:v>898.665790670501</c:v>
                      </c:pt>
                      <c:pt idx="8">
                        <c:v>988.53236973755122</c:v>
                      </c:pt>
                      <c:pt idx="9">
                        <c:v>1087.3856067113065</c:v>
                      </c:pt>
                      <c:pt idx="10">
                        <c:v>1196.1241673824372</c:v>
                      </c:pt>
                      <c:pt idx="11">
                        <c:v>1315.7365841206811</c:v>
                      </c:pt>
                      <c:pt idx="12">
                        <c:v>1447.3102425327493</c:v>
                      </c:pt>
                      <c:pt idx="13">
                        <c:v>1592.0412667860244</c:v>
                      </c:pt>
                      <c:pt idx="14">
                        <c:v>1751.2453934646269</c:v>
                      </c:pt>
                      <c:pt idx="15">
                        <c:v>1926.3699328110897</c:v>
                      </c:pt>
                      <c:pt idx="16">
                        <c:v>2119.0069260921987</c:v>
                      </c:pt>
                      <c:pt idx="17">
                        <c:v>2330.9076187014189</c:v>
                      </c:pt>
                      <c:pt idx="18">
                        <c:v>2563.998380571561</c:v>
                      </c:pt>
                      <c:pt idx="19">
                        <c:v>2640</c:v>
                      </c:pt>
                      <c:pt idx="20">
                        <c:v>2640</c:v>
                      </c:pt>
                      <c:pt idx="21">
                        <c:v>2640</c:v>
                      </c:pt>
                      <c:pt idx="22">
                        <c:v>2640</c:v>
                      </c:pt>
                      <c:pt idx="23">
                        <c:v>2640</c:v>
                      </c:pt>
                      <c:pt idx="24">
                        <c:v>2640</c:v>
                      </c:pt>
                      <c:pt idx="25">
                        <c:v>2640</c:v>
                      </c:pt>
                      <c:pt idx="26">
                        <c:v>2640</c:v>
                      </c:pt>
                      <c:pt idx="27">
                        <c:v>2640</c:v>
                      </c:pt>
                      <c:pt idx="28">
                        <c:v>2640</c:v>
                      </c:pt>
                      <c:pt idx="29">
                        <c:v>2640</c:v>
                      </c:pt>
                      <c:pt idx="30">
                        <c:v>2640</c:v>
                      </c:pt>
                      <c:pt idx="31">
                        <c:v>2640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'driving mode datasheet'!$X$100:$X$131</c15:sqref>
                        </c15:formulaRef>
                      </c:ext>
                    </c:extLst>
                    <c:numCache>
                      <c:formatCode>0.0</c:formatCode>
                      <c:ptCount val="32"/>
                      <c:pt idx="0">
                        <c:v>212.27535494506813</c:v>
                      </c:pt>
                      <c:pt idx="1">
                        <c:v>212.27535494506813</c:v>
                      </c:pt>
                      <c:pt idx="2">
                        <c:v>212.27535494506813</c:v>
                      </c:pt>
                      <c:pt idx="3">
                        <c:v>177.28312593402327</c:v>
                      </c:pt>
                      <c:pt idx="4">
                        <c:v>148.05914115216964</c:v>
                      </c:pt>
                      <c:pt idx="5">
                        <c:v>123.65254258251451</c:v>
                      </c:pt>
                      <c:pt idx="6">
                        <c:v>103.26921504566965</c:v>
                      </c:pt>
                      <c:pt idx="7">
                        <c:v>86.245948149689042</c:v>
                      </c:pt>
                      <c:pt idx="8">
                        <c:v>72.028857476541461</c:v>
                      </c:pt>
                      <c:pt idx="9">
                        <c:v>60.15536289741199</c:v>
                      </c:pt>
                      <c:pt idx="10">
                        <c:v>50.239137646989171</c:v>
                      </c:pt>
                      <c:pt idx="11">
                        <c:v>41.957538446197475</c:v>
                      </c:pt>
                      <c:pt idx="12">
                        <c:v>35.041107688472472</c:v>
                      </c:pt>
                      <c:pt idx="13">
                        <c:v>29.264806123210612</c:v>
                      </c:pt>
                      <c:pt idx="14">
                        <c:v>24.440690775047795</c:v>
                      </c:pt>
                      <c:pt idx="15">
                        <c:v>20.411799861121786</c:v>
                      </c:pt>
                      <c:pt idx="16">
                        <c:v>17.04704574045234</c:v>
                      </c:pt>
                      <c:pt idx="17">
                        <c:v>14.236949727818047</c:v>
                      </c:pt>
                      <c:pt idx="18">
                        <c:v>11.890079996174164</c:v>
                      </c:pt>
                      <c:pt idx="19">
                        <c:v>11.251434485725209</c:v>
                      </c:pt>
                      <c:pt idx="20">
                        <c:v>11.251434485725209</c:v>
                      </c:pt>
                      <c:pt idx="21">
                        <c:v>11.251434485725209</c:v>
                      </c:pt>
                      <c:pt idx="22">
                        <c:v>11.251434485725209</c:v>
                      </c:pt>
                      <c:pt idx="23">
                        <c:v>11.251434485725209</c:v>
                      </c:pt>
                      <c:pt idx="24">
                        <c:v>11.251434485725209</c:v>
                      </c:pt>
                      <c:pt idx="25">
                        <c:v>11.251434485725209</c:v>
                      </c:pt>
                      <c:pt idx="26">
                        <c:v>11.251434485725209</c:v>
                      </c:pt>
                      <c:pt idx="27">
                        <c:v>11.251434485725209</c:v>
                      </c:pt>
                      <c:pt idx="28">
                        <c:v>11.251434485725209</c:v>
                      </c:pt>
                      <c:pt idx="29">
                        <c:v>11.251434485725209</c:v>
                      </c:pt>
                      <c:pt idx="30">
                        <c:v>11.251434485725209</c:v>
                      </c:pt>
                      <c:pt idx="31">
                        <c:v>11.251434485725209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10-821A-4DE3-B97F-A75A0BA72F63}"/>
                  </c:ext>
                </c:extLst>
              </c15:ser>
            </c15:filteredScatterSeries>
          </c:ext>
        </c:extLst>
      </c:scatterChart>
      <c:valAx>
        <c:axId val="125176064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254803893314993"/>
              <c:y val="0.9181084182658988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5215104"/>
        <c:crosses val="autoZero"/>
        <c:crossBetween val="midCat"/>
      </c:valAx>
      <c:valAx>
        <c:axId val="12521510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Nm</a:t>
                </a:r>
              </a:p>
            </c:rich>
          </c:tx>
          <c:layout>
            <c:manualLayout>
              <c:xMode val="edge"/>
              <c:yMode val="edge"/>
              <c:x val="2.0124749112243337E-2"/>
              <c:y val="0.422304384660081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5176064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091672070402967"/>
          <c:y val="0.10766861950679985"/>
          <c:w val="0.86000370541917581"/>
          <c:h val="7.426522128794810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Potencia / Power Diagram</a:t>
            </a:r>
          </a:p>
        </c:rich>
      </c:tx>
      <c:layout>
        <c:manualLayout>
          <c:xMode val="edge"/>
          <c:yMode val="edge"/>
          <c:x val="0.35427833873706976"/>
          <c:y val="3.036870391201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19085996603371"/>
          <c:y val="0.18568292146276591"/>
          <c:w val="0.86151563995676972"/>
          <c:h val="0.67023076453225727"/>
        </c:manualLayout>
      </c:layout>
      <c:scatterChart>
        <c:scatterStyle val="smoothMarker"/>
        <c:varyColors val="0"/>
        <c:ser>
          <c:idx val="1"/>
          <c:order val="5"/>
          <c:tx>
            <c:strRef>
              <c:f>'absorbing mode datasheet'!$T$99</c:f>
              <c:strCache>
                <c:ptCount val="1"/>
                <c:pt idx="0">
                  <c:v>kW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datasheet'!$S$100:$S$131</c:f>
              <c:numCache>
                <c:formatCode>0</c:formatCode>
                <c:ptCount val="32"/>
                <c:pt idx="0">
                  <c:v>10</c:v>
                </c:pt>
                <c:pt idx="1">
                  <c:v>1540</c:v>
                </c:pt>
                <c:pt idx="2">
                  <c:v>1540</c:v>
                </c:pt>
                <c:pt idx="3">
                  <c:v>1735.1291885986243</c:v>
                </c:pt>
                <c:pt idx="4">
                  <c:v>1930.2583771972486</c:v>
                </c:pt>
                <c:pt idx="5">
                  <c:v>2125.3875657958729</c:v>
                </c:pt>
                <c:pt idx="6">
                  <c:v>2320.5167543944972</c:v>
                </c:pt>
                <c:pt idx="7">
                  <c:v>2515.6459429931215</c:v>
                </c:pt>
                <c:pt idx="8">
                  <c:v>2710.7751315917458</c:v>
                </c:pt>
                <c:pt idx="9">
                  <c:v>2905.9043201903701</c:v>
                </c:pt>
                <c:pt idx="10">
                  <c:v>3101.0335087889944</c:v>
                </c:pt>
                <c:pt idx="11">
                  <c:v>3296.1626973876187</c:v>
                </c:pt>
                <c:pt idx="12">
                  <c:v>3491.291885986243</c:v>
                </c:pt>
                <c:pt idx="13">
                  <c:v>3491.291885986243</c:v>
                </c:pt>
                <c:pt idx="14">
                  <c:v>3840.4210745848677</c:v>
                </c:pt>
                <c:pt idx="15">
                  <c:v>4000</c:v>
                </c:pt>
                <c:pt idx="16">
                  <c:v>4000</c:v>
                </c:pt>
                <c:pt idx="17">
                  <c:v>4000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  <c:pt idx="23">
                  <c:v>4000</c:v>
                </c:pt>
                <c:pt idx="24">
                  <c:v>4000</c:v>
                </c:pt>
                <c:pt idx="25">
                  <c:v>4000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4000</c:v>
                </c:pt>
                <c:pt idx="30">
                  <c:v>4000</c:v>
                </c:pt>
                <c:pt idx="31">
                  <c:v>4000</c:v>
                </c:pt>
              </c:numCache>
            </c:numRef>
          </c:xVal>
          <c:yVal>
            <c:numRef>
              <c:f>'absorbing mode datasheet'!$T$100:$T$131</c:f>
              <c:numCache>
                <c:formatCode>0.0</c:formatCode>
                <c:ptCount val="32"/>
                <c:pt idx="0">
                  <c:v>1.0799456757159378</c:v>
                </c:pt>
                <c:pt idx="1">
                  <c:v>166.31163406025442</c:v>
                </c:pt>
                <c:pt idx="2">
                  <c:v>166.31163406025442</c:v>
                </c:pt>
                <c:pt idx="3">
                  <c:v>166.31163406025442</c:v>
                </c:pt>
                <c:pt idx="4">
                  <c:v>166.31163406025442</c:v>
                </c:pt>
                <c:pt idx="5">
                  <c:v>166.31163406025442</c:v>
                </c:pt>
                <c:pt idx="6">
                  <c:v>166.31163406025442</c:v>
                </c:pt>
                <c:pt idx="7">
                  <c:v>166.31163406025442</c:v>
                </c:pt>
                <c:pt idx="8">
                  <c:v>166.31163406025442</c:v>
                </c:pt>
                <c:pt idx="9">
                  <c:v>166.31163406025442</c:v>
                </c:pt>
                <c:pt idx="10">
                  <c:v>166.31163406025442</c:v>
                </c:pt>
                <c:pt idx="11">
                  <c:v>166.31163406025442</c:v>
                </c:pt>
                <c:pt idx="12">
                  <c:v>166.31163406025442</c:v>
                </c:pt>
                <c:pt idx="13">
                  <c:v>166.31163406025442</c:v>
                </c:pt>
                <c:pt idx="14">
                  <c:v>152.78585217925948</c:v>
                </c:pt>
                <c:pt idx="15">
                  <c:v>147.34890742533079</c:v>
                </c:pt>
                <c:pt idx="16">
                  <c:v>147.34890742533079</c:v>
                </c:pt>
                <c:pt idx="17">
                  <c:v>147.34890742533079</c:v>
                </c:pt>
                <c:pt idx="18">
                  <c:v>147.34890742533079</c:v>
                </c:pt>
                <c:pt idx="19">
                  <c:v>147.34890742533079</c:v>
                </c:pt>
                <c:pt idx="20">
                  <c:v>147.34890742533079</c:v>
                </c:pt>
                <c:pt idx="21">
                  <c:v>147.34890742533079</c:v>
                </c:pt>
                <c:pt idx="22">
                  <c:v>147.34890742533079</c:v>
                </c:pt>
                <c:pt idx="23">
                  <c:v>147.34890742533079</c:v>
                </c:pt>
                <c:pt idx="24">
                  <c:v>147.34890742533079</c:v>
                </c:pt>
                <c:pt idx="25">
                  <c:v>147.34890742533079</c:v>
                </c:pt>
                <c:pt idx="26">
                  <c:v>147.34890742533079</c:v>
                </c:pt>
                <c:pt idx="27">
                  <c:v>147.34890742533079</c:v>
                </c:pt>
                <c:pt idx="28">
                  <c:v>147.34890742533079</c:v>
                </c:pt>
                <c:pt idx="29">
                  <c:v>147.34890742533079</c:v>
                </c:pt>
                <c:pt idx="30">
                  <c:v>147.34890742533079</c:v>
                </c:pt>
                <c:pt idx="31">
                  <c:v>147.34890742533079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6FAE-41F2-B85B-EDC3A2543958}"/>
            </c:ext>
          </c:extLst>
        </c:ser>
        <c:ser>
          <c:idx val="0"/>
          <c:order val="6"/>
          <c:tx>
            <c:strRef>
              <c:f>'absorbing mode datasheet'!$Q$99</c:f>
              <c:strCache>
                <c:ptCount val="1"/>
                <c:pt idx="0">
                  <c:v>kW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datasheet'!$P$100:$P$131</c:f>
              <c:numCache>
                <c:formatCode>0</c:formatCode>
                <c:ptCount val="32"/>
                <c:pt idx="0">
                  <c:v>10</c:v>
                </c:pt>
                <c:pt idx="1">
                  <c:v>1540</c:v>
                </c:pt>
                <c:pt idx="2">
                  <c:v>1540</c:v>
                </c:pt>
                <c:pt idx="3">
                  <c:v>1786</c:v>
                </c:pt>
                <c:pt idx="4">
                  <c:v>2032</c:v>
                </c:pt>
                <c:pt idx="5">
                  <c:v>2278</c:v>
                </c:pt>
                <c:pt idx="6">
                  <c:v>2524</c:v>
                </c:pt>
                <c:pt idx="7">
                  <c:v>2770</c:v>
                </c:pt>
                <c:pt idx="8">
                  <c:v>3016</c:v>
                </c:pt>
                <c:pt idx="9">
                  <c:v>3262</c:v>
                </c:pt>
                <c:pt idx="10">
                  <c:v>3508</c:v>
                </c:pt>
                <c:pt idx="11">
                  <c:v>3754</c:v>
                </c:pt>
                <c:pt idx="12">
                  <c:v>4000</c:v>
                </c:pt>
                <c:pt idx="13">
                  <c:v>4000</c:v>
                </c:pt>
                <c:pt idx="14">
                  <c:v>4000</c:v>
                </c:pt>
                <c:pt idx="15">
                  <c:v>4000</c:v>
                </c:pt>
                <c:pt idx="16">
                  <c:v>4000</c:v>
                </c:pt>
                <c:pt idx="17">
                  <c:v>4000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  <c:pt idx="23">
                  <c:v>4000</c:v>
                </c:pt>
                <c:pt idx="24">
                  <c:v>4000</c:v>
                </c:pt>
                <c:pt idx="25">
                  <c:v>4000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4000</c:v>
                </c:pt>
                <c:pt idx="30">
                  <c:v>4000</c:v>
                </c:pt>
                <c:pt idx="31">
                  <c:v>4000</c:v>
                </c:pt>
              </c:numCache>
            </c:numRef>
          </c:xVal>
          <c:yVal>
            <c:numRef>
              <c:f>'absorbing mode datasheet'!$Q$100:$Q$131</c:f>
              <c:numCache>
                <c:formatCode>0.0</c:formatCode>
                <c:ptCount val="32"/>
                <c:pt idx="0">
                  <c:v>0.20006480869007753</c:v>
                </c:pt>
                <c:pt idx="1">
                  <c:v>113.69423813341461</c:v>
                </c:pt>
                <c:pt idx="2">
                  <c:v>113.69423813341461</c:v>
                </c:pt>
                <c:pt idx="3">
                  <c:v>113.69423813341461</c:v>
                </c:pt>
                <c:pt idx="4">
                  <c:v>113.69423813341461</c:v>
                </c:pt>
                <c:pt idx="5">
                  <c:v>113.69423813341461</c:v>
                </c:pt>
                <c:pt idx="6">
                  <c:v>113.69423813341461</c:v>
                </c:pt>
                <c:pt idx="7">
                  <c:v>113.69423813341461</c:v>
                </c:pt>
                <c:pt idx="8">
                  <c:v>113.69423813341461</c:v>
                </c:pt>
                <c:pt idx="9">
                  <c:v>113.69423813341461</c:v>
                </c:pt>
                <c:pt idx="10">
                  <c:v>113.69423813341461</c:v>
                </c:pt>
                <c:pt idx="11">
                  <c:v>113.69423813341461</c:v>
                </c:pt>
                <c:pt idx="12">
                  <c:v>113.69423813341461</c:v>
                </c:pt>
                <c:pt idx="13">
                  <c:v>113.69423813341461</c:v>
                </c:pt>
                <c:pt idx="14">
                  <c:v>113.69423813341461</c:v>
                </c:pt>
                <c:pt idx="15">
                  <c:v>113.69423813341461</c:v>
                </c:pt>
                <c:pt idx="16">
                  <c:v>113.69423813341461</c:v>
                </c:pt>
                <c:pt idx="17">
                  <c:v>113.69423813341461</c:v>
                </c:pt>
                <c:pt idx="18">
                  <c:v>113.69423813341461</c:v>
                </c:pt>
                <c:pt idx="19">
                  <c:v>113.69423813341461</c:v>
                </c:pt>
                <c:pt idx="20">
                  <c:v>113.69423813341461</c:v>
                </c:pt>
                <c:pt idx="21">
                  <c:v>113.69423813341461</c:v>
                </c:pt>
                <c:pt idx="22">
                  <c:v>113.69423813341461</c:v>
                </c:pt>
                <c:pt idx="23">
                  <c:v>113.69423813341461</c:v>
                </c:pt>
                <c:pt idx="24">
                  <c:v>113.69423813341461</c:v>
                </c:pt>
                <c:pt idx="25">
                  <c:v>113.69423813341461</c:v>
                </c:pt>
                <c:pt idx="26">
                  <c:v>113.69423813341461</c:v>
                </c:pt>
                <c:pt idx="27">
                  <c:v>113.69423813341461</c:v>
                </c:pt>
                <c:pt idx="28">
                  <c:v>113.69423813341461</c:v>
                </c:pt>
                <c:pt idx="29">
                  <c:v>113.69423813341461</c:v>
                </c:pt>
                <c:pt idx="30">
                  <c:v>113.69423813341461</c:v>
                </c:pt>
                <c:pt idx="31">
                  <c:v>113.69423813341461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6FAE-41F2-B85B-EDC3A2543958}"/>
            </c:ext>
          </c:extLst>
        </c:ser>
        <c:ser>
          <c:idx val="2"/>
          <c:order val="7"/>
          <c:tx>
            <c:v>KW 1</c:v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0"/>
            </c:numLit>
          </c:xVal>
          <c:yVal>
            <c:numLit>
              <c:formatCode>General</c:formatCode>
              <c:ptCount val="20"/>
            </c:numLit>
          </c:yVal>
          <c:smooth val="1"/>
          <c:extLst>
            <c:ext xmlns:c16="http://schemas.microsoft.com/office/drawing/2014/chart" uri="{C3380CC4-5D6E-409C-BE32-E72D297353CC}">
              <c16:uniqueId val="{00000015-6FAE-41F2-B85B-EDC3A2543958}"/>
            </c:ext>
          </c:extLst>
        </c:ser>
        <c:ser>
          <c:idx val="3"/>
          <c:order val="8"/>
          <c:tx>
            <c:v>KW 2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Lit>
              <c:formatCode>General</c:formatCode>
              <c:ptCount val="20"/>
            </c:numLit>
          </c:xVal>
          <c:yVal>
            <c:numLit>
              <c:formatCode>General</c:formatCode>
              <c:ptCount val="20"/>
            </c:numLit>
          </c:yVal>
          <c:smooth val="1"/>
          <c:extLst>
            <c:ext xmlns:c16="http://schemas.microsoft.com/office/drawing/2014/chart" uri="{C3380CC4-5D6E-409C-BE32-E72D297353CC}">
              <c16:uniqueId val="{00000017-6FAE-41F2-B85B-EDC3A2543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042880"/>
        <c:axId val="128053248"/>
        <c:extLst>
          <c:ext xmlns:c15="http://schemas.microsoft.com/office/drawing/2012/chart" uri="{02D57815-91ED-43cb-92C2-25804820EDAC}">
            <c15:filteredScatterSeries>
              <c15:ser>
                <c:idx val="5"/>
                <c:order val="0"/>
                <c:tx>
                  <c:strRef>
                    <c:extLst>
                      <c:ext uri="{02D57815-91ED-43cb-92C2-25804820EDAC}">
                        <c15:formulaRef>
                          <c15:sqref>'absorbing mode datasheet'!$T$99</c15:sqref>
                        </c15:formulaRef>
                      </c:ext>
                    </c:extLst>
                    <c:strCache>
                      <c:ptCount val="1"/>
                      <c:pt idx="0">
                        <c:v>kW S6</c:v>
                      </c:pt>
                    </c:strCache>
                  </c:strRef>
                </c:tx>
                <c:spPr>
                  <a:ln w="12700">
                    <a:solidFill>
                      <a:srgbClr val="000000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'absorbing mode datasheet'!$S$100:$S$131</c15:sqref>
                        </c15:formulaRef>
                      </c:ext>
                    </c:extLst>
                    <c:numCache>
                      <c:formatCode>0</c:formatCode>
                      <c:ptCount val="32"/>
                      <c:pt idx="0">
                        <c:v>10</c:v>
                      </c:pt>
                      <c:pt idx="1">
                        <c:v>1540</c:v>
                      </c:pt>
                      <c:pt idx="2">
                        <c:v>1540</c:v>
                      </c:pt>
                      <c:pt idx="3">
                        <c:v>1735.1291885986243</c:v>
                      </c:pt>
                      <c:pt idx="4">
                        <c:v>1930.2583771972486</c:v>
                      </c:pt>
                      <c:pt idx="5">
                        <c:v>2125.3875657958729</c:v>
                      </c:pt>
                      <c:pt idx="6">
                        <c:v>2320.5167543944972</c:v>
                      </c:pt>
                      <c:pt idx="7">
                        <c:v>2515.6459429931215</c:v>
                      </c:pt>
                      <c:pt idx="8">
                        <c:v>2710.7751315917458</c:v>
                      </c:pt>
                      <c:pt idx="9">
                        <c:v>2905.9043201903701</c:v>
                      </c:pt>
                      <c:pt idx="10">
                        <c:v>3101.0335087889944</c:v>
                      </c:pt>
                      <c:pt idx="11">
                        <c:v>3296.1626973876187</c:v>
                      </c:pt>
                      <c:pt idx="12">
                        <c:v>3491.291885986243</c:v>
                      </c:pt>
                      <c:pt idx="13">
                        <c:v>3491.291885986243</c:v>
                      </c:pt>
                      <c:pt idx="14">
                        <c:v>3840.4210745848677</c:v>
                      </c:pt>
                      <c:pt idx="15">
                        <c:v>4000</c:v>
                      </c:pt>
                      <c:pt idx="16">
                        <c:v>4000</c:v>
                      </c:pt>
                      <c:pt idx="17">
                        <c:v>4000</c:v>
                      </c:pt>
                      <c:pt idx="18">
                        <c:v>4000</c:v>
                      </c:pt>
                      <c:pt idx="19">
                        <c:v>4000</c:v>
                      </c:pt>
                      <c:pt idx="20">
                        <c:v>4000</c:v>
                      </c:pt>
                      <c:pt idx="21">
                        <c:v>4000</c:v>
                      </c:pt>
                      <c:pt idx="22">
                        <c:v>4000</c:v>
                      </c:pt>
                      <c:pt idx="23">
                        <c:v>4000</c:v>
                      </c:pt>
                      <c:pt idx="24">
                        <c:v>4000</c:v>
                      </c:pt>
                      <c:pt idx="25">
                        <c:v>4000</c:v>
                      </c:pt>
                      <c:pt idx="26">
                        <c:v>4000</c:v>
                      </c:pt>
                      <c:pt idx="27">
                        <c:v>4000</c:v>
                      </c:pt>
                      <c:pt idx="28">
                        <c:v>4000</c:v>
                      </c:pt>
                      <c:pt idx="29">
                        <c:v>4000</c:v>
                      </c:pt>
                      <c:pt idx="30">
                        <c:v>4000</c:v>
                      </c:pt>
                      <c:pt idx="31">
                        <c:v>4000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'absorbing mode datasheet'!$T$100:$T$131</c15:sqref>
                        </c15:formulaRef>
                      </c:ext>
                    </c:extLst>
                    <c:numCache>
                      <c:formatCode>0.0</c:formatCode>
                      <c:ptCount val="32"/>
                      <c:pt idx="0">
                        <c:v>1.0799456757159378</c:v>
                      </c:pt>
                      <c:pt idx="1">
                        <c:v>166.31163406025442</c:v>
                      </c:pt>
                      <c:pt idx="2">
                        <c:v>166.31163406025442</c:v>
                      </c:pt>
                      <c:pt idx="3">
                        <c:v>166.31163406025442</c:v>
                      </c:pt>
                      <c:pt idx="4">
                        <c:v>166.31163406025442</c:v>
                      </c:pt>
                      <c:pt idx="5">
                        <c:v>166.31163406025442</c:v>
                      </c:pt>
                      <c:pt idx="6">
                        <c:v>166.31163406025442</c:v>
                      </c:pt>
                      <c:pt idx="7">
                        <c:v>166.31163406025442</c:v>
                      </c:pt>
                      <c:pt idx="8">
                        <c:v>166.31163406025442</c:v>
                      </c:pt>
                      <c:pt idx="9">
                        <c:v>166.31163406025442</c:v>
                      </c:pt>
                      <c:pt idx="10">
                        <c:v>166.31163406025442</c:v>
                      </c:pt>
                      <c:pt idx="11">
                        <c:v>166.31163406025442</c:v>
                      </c:pt>
                      <c:pt idx="12">
                        <c:v>166.31163406025442</c:v>
                      </c:pt>
                      <c:pt idx="13">
                        <c:v>166.31163406025442</c:v>
                      </c:pt>
                      <c:pt idx="14">
                        <c:v>152.78585217925948</c:v>
                      </c:pt>
                      <c:pt idx="15">
                        <c:v>147.34890742533079</c:v>
                      </c:pt>
                      <c:pt idx="16">
                        <c:v>147.34890742533079</c:v>
                      </c:pt>
                      <c:pt idx="17">
                        <c:v>147.34890742533079</c:v>
                      </c:pt>
                      <c:pt idx="18">
                        <c:v>147.34890742533079</c:v>
                      </c:pt>
                      <c:pt idx="19">
                        <c:v>147.34890742533079</c:v>
                      </c:pt>
                      <c:pt idx="20">
                        <c:v>147.34890742533079</c:v>
                      </c:pt>
                      <c:pt idx="21">
                        <c:v>147.34890742533079</c:v>
                      </c:pt>
                      <c:pt idx="22">
                        <c:v>147.34890742533079</c:v>
                      </c:pt>
                      <c:pt idx="23">
                        <c:v>147.34890742533079</c:v>
                      </c:pt>
                      <c:pt idx="24">
                        <c:v>147.34890742533079</c:v>
                      </c:pt>
                      <c:pt idx="25">
                        <c:v>147.34890742533079</c:v>
                      </c:pt>
                      <c:pt idx="26">
                        <c:v>147.34890742533079</c:v>
                      </c:pt>
                      <c:pt idx="27">
                        <c:v>147.34890742533079</c:v>
                      </c:pt>
                      <c:pt idx="28">
                        <c:v>147.34890742533079</c:v>
                      </c:pt>
                      <c:pt idx="29">
                        <c:v>147.34890742533079</c:v>
                      </c:pt>
                      <c:pt idx="30">
                        <c:v>147.34890742533079</c:v>
                      </c:pt>
                      <c:pt idx="31">
                        <c:v>147.34890742533079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18-6FAE-41F2-B85B-EDC3A2543958}"/>
                  </c:ext>
                </c:extLst>
              </c15:ser>
            </c15:filteredScatterSeries>
            <c15:filteredScatterSeries>
              <c15:ser>
                <c:idx val="6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'absorbing mode datasheet'!$Q$99</c15:sqref>
                        </c15:formulaRef>
                      </c:ext>
                    </c:extLst>
                    <c:strCache>
                      <c:ptCount val="1"/>
                      <c:pt idx="0">
                        <c:v>kW S1</c:v>
                      </c:pt>
                    </c:strCache>
                  </c:strRef>
                </c:tx>
                <c:spPr>
                  <a:ln w="38100">
                    <a:solidFill>
                      <a:srgbClr val="000000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'absorbing mode datasheet'!$P$100:$P$131</c15:sqref>
                        </c15:formulaRef>
                      </c:ext>
                    </c:extLst>
                    <c:numCache>
                      <c:formatCode>0</c:formatCode>
                      <c:ptCount val="32"/>
                      <c:pt idx="0">
                        <c:v>10</c:v>
                      </c:pt>
                      <c:pt idx="1">
                        <c:v>1540</c:v>
                      </c:pt>
                      <c:pt idx="2">
                        <c:v>1540</c:v>
                      </c:pt>
                      <c:pt idx="3">
                        <c:v>1786</c:v>
                      </c:pt>
                      <c:pt idx="4">
                        <c:v>2032</c:v>
                      </c:pt>
                      <c:pt idx="5">
                        <c:v>2278</c:v>
                      </c:pt>
                      <c:pt idx="6">
                        <c:v>2524</c:v>
                      </c:pt>
                      <c:pt idx="7">
                        <c:v>2770</c:v>
                      </c:pt>
                      <c:pt idx="8">
                        <c:v>3016</c:v>
                      </c:pt>
                      <c:pt idx="9">
                        <c:v>3262</c:v>
                      </c:pt>
                      <c:pt idx="10">
                        <c:v>3508</c:v>
                      </c:pt>
                      <c:pt idx="11">
                        <c:v>3754</c:v>
                      </c:pt>
                      <c:pt idx="12">
                        <c:v>4000</c:v>
                      </c:pt>
                      <c:pt idx="13">
                        <c:v>4000</c:v>
                      </c:pt>
                      <c:pt idx="14">
                        <c:v>4000</c:v>
                      </c:pt>
                      <c:pt idx="15">
                        <c:v>4000</c:v>
                      </c:pt>
                      <c:pt idx="16">
                        <c:v>4000</c:v>
                      </c:pt>
                      <c:pt idx="17">
                        <c:v>4000</c:v>
                      </c:pt>
                      <c:pt idx="18">
                        <c:v>4000</c:v>
                      </c:pt>
                      <c:pt idx="19">
                        <c:v>4000</c:v>
                      </c:pt>
                      <c:pt idx="20">
                        <c:v>4000</c:v>
                      </c:pt>
                      <c:pt idx="21">
                        <c:v>4000</c:v>
                      </c:pt>
                      <c:pt idx="22">
                        <c:v>4000</c:v>
                      </c:pt>
                      <c:pt idx="23">
                        <c:v>4000</c:v>
                      </c:pt>
                      <c:pt idx="24">
                        <c:v>4000</c:v>
                      </c:pt>
                      <c:pt idx="25">
                        <c:v>4000</c:v>
                      </c:pt>
                      <c:pt idx="26">
                        <c:v>4000</c:v>
                      </c:pt>
                      <c:pt idx="27">
                        <c:v>4000</c:v>
                      </c:pt>
                      <c:pt idx="28">
                        <c:v>4000</c:v>
                      </c:pt>
                      <c:pt idx="29">
                        <c:v>4000</c:v>
                      </c:pt>
                      <c:pt idx="30">
                        <c:v>4000</c:v>
                      </c:pt>
                      <c:pt idx="31">
                        <c:v>4000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'absorbing mode datasheet'!$Q$100:$Q$131</c15:sqref>
                        </c15:formulaRef>
                      </c:ext>
                    </c:extLst>
                    <c:numCache>
                      <c:formatCode>0.0</c:formatCode>
                      <c:ptCount val="32"/>
                      <c:pt idx="0">
                        <c:v>0.20006480869007753</c:v>
                      </c:pt>
                      <c:pt idx="1">
                        <c:v>113.69423813341461</c:v>
                      </c:pt>
                      <c:pt idx="2">
                        <c:v>113.69423813341461</c:v>
                      </c:pt>
                      <c:pt idx="3">
                        <c:v>113.69423813341461</c:v>
                      </c:pt>
                      <c:pt idx="4">
                        <c:v>113.69423813341461</c:v>
                      </c:pt>
                      <c:pt idx="5">
                        <c:v>113.69423813341461</c:v>
                      </c:pt>
                      <c:pt idx="6">
                        <c:v>113.69423813341461</c:v>
                      </c:pt>
                      <c:pt idx="7">
                        <c:v>113.69423813341461</c:v>
                      </c:pt>
                      <c:pt idx="8">
                        <c:v>113.69423813341461</c:v>
                      </c:pt>
                      <c:pt idx="9">
                        <c:v>113.69423813341461</c:v>
                      </c:pt>
                      <c:pt idx="10">
                        <c:v>113.69423813341461</c:v>
                      </c:pt>
                      <c:pt idx="11">
                        <c:v>113.69423813341461</c:v>
                      </c:pt>
                      <c:pt idx="12">
                        <c:v>113.69423813341461</c:v>
                      </c:pt>
                      <c:pt idx="13">
                        <c:v>113.69423813341461</c:v>
                      </c:pt>
                      <c:pt idx="14">
                        <c:v>113.69423813341461</c:v>
                      </c:pt>
                      <c:pt idx="15">
                        <c:v>113.69423813341461</c:v>
                      </c:pt>
                      <c:pt idx="16">
                        <c:v>113.69423813341461</c:v>
                      </c:pt>
                      <c:pt idx="17">
                        <c:v>113.69423813341461</c:v>
                      </c:pt>
                      <c:pt idx="18">
                        <c:v>113.69423813341461</c:v>
                      </c:pt>
                      <c:pt idx="19">
                        <c:v>113.69423813341461</c:v>
                      </c:pt>
                      <c:pt idx="20">
                        <c:v>113.69423813341461</c:v>
                      </c:pt>
                      <c:pt idx="21">
                        <c:v>113.69423813341461</c:v>
                      </c:pt>
                      <c:pt idx="22">
                        <c:v>113.69423813341461</c:v>
                      </c:pt>
                      <c:pt idx="23">
                        <c:v>113.69423813341461</c:v>
                      </c:pt>
                      <c:pt idx="24">
                        <c:v>113.69423813341461</c:v>
                      </c:pt>
                      <c:pt idx="25">
                        <c:v>113.69423813341461</c:v>
                      </c:pt>
                      <c:pt idx="26">
                        <c:v>113.69423813341461</c:v>
                      </c:pt>
                      <c:pt idx="27">
                        <c:v>113.69423813341461</c:v>
                      </c:pt>
                      <c:pt idx="28">
                        <c:v>113.69423813341461</c:v>
                      </c:pt>
                      <c:pt idx="29">
                        <c:v>113.69423813341461</c:v>
                      </c:pt>
                      <c:pt idx="30">
                        <c:v>113.69423813341461</c:v>
                      </c:pt>
                      <c:pt idx="31">
                        <c:v>113.69423813341461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6FAE-41F2-B85B-EDC3A2543958}"/>
                  </c:ext>
                </c:extLst>
              </c15:ser>
            </c15:filteredScatterSeries>
            <c15:filteredScatterSeries>
              <c15:ser>
                <c:idx val="7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'absorbing mode datasheet'!$B$115</c15:sqref>
                        </c15:formulaRef>
                      </c:ext>
                    </c:extLst>
                    <c:strCache>
                      <c:ptCount val="1"/>
                      <c:pt idx="0">
                        <c:v>KW 1</c:v>
                      </c:pt>
                    </c:strCache>
                  </c:strRef>
                </c:tx>
                <c:spPr>
                  <a:ln w="38100">
                    <a:solidFill>
                      <a:srgbClr val="0000FF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'absorbing mode datasheet'!$A$116:$A$135</c15:sqref>
                        </c15:formulaRef>
                      </c:ext>
                    </c:extLst>
                    <c:numCache>
                      <c:formatCode>0</c:formatCode>
                      <c:ptCount val="20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'absorbing mode datasheet'!$B$116:$B$135</c15:sqref>
                        </c15:formulaRef>
                      </c:ext>
                    </c:extLst>
                    <c:numCache>
                      <c:formatCode>0.0</c:formatCode>
                      <c:ptCount val="20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6FAE-41F2-B85B-EDC3A2543958}"/>
                  </c:ext>
                </c:extLst>
              </c15:ser>
            </c15:filteredScatterSeries>
            <c15:filteredScatterSeries>
              <c15:ser>
                <c:idx val="8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'absorbing mode datasheet'!$C$115</c15:sqref>
                        </c15:formulaRef>
                      </c:ext>
                    </c:extLst>
                    <c:strCache>
                      <c:ptCount val="1"/>
                      <c:pt idx="0">
                        <c:v>KW 2</c:v>
                      </c:pt>
                    </c:strCache>
                  </c:strRef>
                </c:tx>
                <c:spPr>
                  <a:ln w="381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'absorbing mode datasheet'!$A$116:$A$135</c15:sqref>
                        </c15:formulaRef>
                      </c:ext>
                    </c:extLst>
                    <c:numCache>
                      <c:formatCode>0</c:formatCode>
                      <c:ptCount val="20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'absorbing mode datasheet'!$C$116:$C$135</c15:sqref>
                        </c15:formulaRef>
                      </c:ext>
                    </c:extLst>
                    <c:numCache>
                      <c:formatCode>0.0</c:formatCode>
                      <c:ptCount val="20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6FAE-41F2-B85B-EDC3A2543958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'absorbing mode datasheet'!$W$99</c15:sqref>
                        </c15:formulaRef>
                      </c:ext>
                    </c:extLst>
                    <c:strCache>
                      <c:ptCount val="1"/>
                      <c:pt idx="0">
                        <c:v>KW limit</c:v>
                      </c:pt>
                    </c:strCache>
                  </c:strRef>
                </c:tx>
                <c:spPr>
                  <a:ln>
                    <a:solidFill>
                      <a:schemeClr val="bg1">
                        <a:lumMod val="65000"/>
                      </a:schemeClr>
                    </a:solidFill>
                    <a:prstDash val="dash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'absorbing mode datasheet'!$V$100:$V$131</c15:sqref>
                        </c15:formulaRef>
                      </c:ext>
                    </c:extLst>
                    <c:numCache>
                      <c:formatCode>0</c:formatCode>
                      <c:ptCount val="32"/>
                      <c:pt idx="0">
                        <c:v>10</c:v>
                      </c:pt>
                      <c:pt idx="1">
                        <c:v>1281.0186476083695</c:v>
                      </c:pt>
                      <c:pt idx="2">
                        <c:v>1281.0186476083695</c:v>
                      </c:pt>
                      <c:pt idx="3">
                        <c:v>1409.1205123692066</c:v>
                      </c:pt>
                      <c:pt idx="4">
                        <c:v>1550.0325636061275</c:v>
                      </c:pt>
                      <c:pt idx="5">
                        <c:v>1705.0358199667403</c:v>
                      </c:pt>
                      <c:pt idx="6">
                        <c:v>1875.5394019634145</c:v>
                      </c:pt>
                      <c:pt idx="7">
                        <c:v>2063.093342159756</c:v>
                      </c:pt>
                      <c:pt idx="8">
                        <c:v>2269.402676375732</c:v>
                      </c:pt>
                      <c:pt idx="9">
                        <c:v>2496.3429440133054</c:v>
                      </c:pt>
                      <c:pt idx="10">
                        <c:v>2745.9772384146363</c:v>
                      </c:pt>
                      <c:pt idx="11">
                        <c:v>3020.5749622561002</c:v>
                      </c:pt>
                      <c:pt idx="12">
                        <c:v>3322.6324584817103</c:v>
                      </c:pt>
                      <c:pt idx="13">
                        <c:v>3654.8957043298815</c:v>
                      </c:pt>
                      <c:pt idx="14">
                        <c:v>4000</c:v>
                      </c:pt>
                      <c:pt idx="15">
                        <c:v>4000</c:v>
                      </c:pt>
                      <c:pt idx="16">
                        <c:v>4000</c:v>
                      </c:pt>
                      <c:pt idx="17">
                        <c:v>4000</c:v>
                      </c:pt>
                      <c:pt idx="18">
                        <c:v>4000</c:v>
                      </c:pt>
                      <c:pt idx="19">
                        <c:v>4000</c:v>
                      </c:pt>
                      <c:pt idx="20">
                        <c:v>4000</c:v>
                      </c:pt>
                      <c:pt idx="21">
                        <c:v>4000</c:v>
                      </c:pt>
                      <c:pt idx="22">
                        <c:v>4000</c:v>
                      </c:pt>
                      <c:pt idx="23">
                        <c:v>4000</c:v>
                      </c:pt>
                      <c:pt idx="24">
                        <c:v>4000</c:v>
                      </c:pt>
                      <c:pt idx="25">
                        <c:v>4000</c:v>
                      </c:pt>
                      <c:pt idx="26">
                        <c:v>4000</c:v>
                      </c:pt>
                      <c:pt idx="27">
                        <c:v>4000</c:v>
                      </c:pt>
                      <c:pt idx="28">
                        <c:v>4000</c:v>
                      </c:pt>
                      <c:pt idx="29">
                        <c:v>4000</c:v>
                      </c:pt>
                      <c:pt idx="30">
                        <c:v>4000</c:v>
                      </c:pt>
                      <c:pt idx="31">
                        <c:v>4000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'absorbing mode datasheet'!$W$100:$W$131</c15:sqref>
                        </c15:formulaRef>
                      </c:ext>
                    </c:extLst>
                    <c:numCache>
                      <c:formatCode>0</c:formatCode>
                      <c:ptCount val="32"/>
                      <c:pt idx="0">
                        <c:v>0.22229423187786393</c:v>
                      </c:pt>
                      <c:pt idx="1">
                        <c:v>28.476305629132256</c:v>
                      </c:pt>
                      <c:pt idx="2">
                        <c:v>28.476305629132256</c:v>
                      </c:pt>
                      <c:pt idx="3">
                        <c:v>26.160386475955953</c:v>
                      </c:pt>
                      <c:pt idx="4">
                        <c:v>24.032816246755292</c:v>
                      </c:pt>
                      <c:pt idx="5">
                        <c:v>22.078276912352059</c:v>
                      </c:pt>
                      <c:pt idx="6">
                        <c:v>20.282696227260061</c:v>
                      </c:pt>
                      <c:pt idx="7">
                        <c:v>18.633146412669181</c:v>
                      </c:pt>
                      <c:pt idx="8">
                        <c:v>17.117751079333097</c:v>
                      </c:pt>
                      <c:pt idx="9">
                        <c:v>15.725599720226482</c:v>
                      </c:pt>
                      <c:pt idx="10">
                        <c:v>14.446669157337789</c:v>
                      </c:pt>
                      <c:pt idx="11">
                        <c:v>13.271751377032329</c:v>
                      </c:pt>
                      <c:pt idx="12">
                        <c:v>12.192387234416197</c:v>
                      </c:pt>
                      <c:pt idx="13">
                        <c:v>11.200805549387514</c:v>
                      </c:pt>
                      <c:pt idx="14">
                        <c:v>10.336526092094713</c:v>
                      </c:pt>
                      <c:pt idx="15">
                        <c:v>10.336526092094713</c:v>
                      </c:pt>
                      <c:pt idx="16">
                        <c:v>10.336526092094713</c:v>
                      </c:pt>
                      <c:pt idx="17">
                        <c:v>10.336526092094713</c:v>
                      </c:pt>
                      <c:pt idx="18">
                        <c:v>10.336526092094713</c:v>
                      </c:pt>
                      <c:pt idx="19">
                        <c:v>10.336526092094713</c:v>
                      </c:pt>
                      <c:pt idx="20">
                        <c:v>10.336526092094713</c:v>
                      </c:pt>
                      <c:pt idx="21">
                        <c:v>10.336526092094713</c:v>
                      </c:pt>
                      <c:pt idx="22">
                        <c:v>10.336526092094713</c:v>
                      </c:pt>
                      <c:pt idx="23">
                        <c:v>10.336526092094713</c:v>
                      </c:pt>
                      <c:pt idx="24">
                        <c:v>10.336526092094713</c:v>
                      </c:pt>
                      <c:pt idx="25">
                        <c:v>10.336526092094713</c:v>
                      </c:pt>
                      <c:pt idx="26">
                        <c:v>10.336526092094713</c:v>
                      </c:pt>
                      <c:pt idx="27">
                        <c:v>10.336526092094713</c:v>
                      </c:pt>
                      <c:pt idx="28">
                        <c:v>10.336526092094713</c:v>
                      </c:pt>
                      <c:pt idx="29">
                        <c:v>10.336526092094713</c:v>
                      </c:pt>
                      <c:pt idx="30">
                        <c:v>10.336526092094713</c:v>
                      </c:pt>
                      <c:pt idx="31">
                        <c:v>10.336526092094713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6FAE-41F2-B85B-EDC3A2543958}"/>
                  </c:ext>
                </c:extLst>
              </c15:ser>
            </c15:filteredScatterSeries>
          </c:ext>
        </c:extLst>
      </c:scatterChart>
      <c:valAx>
        <c:axId val="128042880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254803893314993"/>
              <c:y val="0.9181084182658988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8053248"/>
        <c:crosses val="autoZero"/>
        <c:crossBetween val="midCat"/>
      </c:valAx>
      <c:valAx>
        <c:axId val="1280532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Nm</a:t>
                </a:r>
              </a:p>
            </c:rich>
          </c:tx>
          <c:layout>
            <c:manualLayout>
              <c:xMode val="edge"/>
              <c:yMode val="edge"/>
              <c:x val="2.0124749112243337E-2"/>
              <c:y val="0.422304384660081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8042880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091672070402967"/>
          <c:y val="0.10766861950679985"/>
          <c:w val="0.86000370541917581"/>
          <c:h val="7.426522128794810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Par / Torque Diagram</a:t>
            </a:r>
          </a:p>
        </c:rich>
      </c:tx>
      <c:layout>
        <c:manualLayout>
          <c:xMode val="edge"/>
          <c:yMode val="edge"/>
          <c:x val="0.35427833873706976"/>
          <c:y val="3.036870391201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19085996603371"/>
          <c:y val="0.18568292146276591"/>
          <c:w val="0.86151563995676972"/>
          <c:h val="0.67023076453225727"/>
        </c:manualLayout>
      </c:layout>
      <c:scatterChart>
        <c:scatterStyle val="smoothMarker"/>
        <c:varyColors val="0"/>
        <c:ser>
          <c:idx val="5"/>
          <c:order val="0"/>
          <c:tx>
            <c:strRef>
              <c:f>'absorbing mode datasheet'!$U$99</c:f>
              <c:strCache>
                <c:ptCount val="1"/>
                <c:pt idx="0">
                  <c:v>Nm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datasheet'!$S$100:$S$130</c:f>
              <c:numCache>
                <c:formatCode>0</c:formatCode>
                <c:ptCount val="31"/>
                <c:pt idx="0">
                  <c:v>10</c:v>
                </c:pt>
                <c:pt idx="1">
                  <c:v>1540</c:v>
                </c:pt>
                <c:pt idx="2">
                  <c:v>1540</c:v>
                </c:pt>
                <c:pt idx="3">
                  <c:v>1735.1291885986243</c:v>
                </c:pt>
                <c:pt idx="4">
                  <c:v>1930.2583771972486</c:v>
                </c:pt>
                <c:pt idx="5">
                  <c:v>2125.3875657958729</c:v>
                </c:pt>
                <c:pt idx="6">
                  <c:v>2320.5167543944972</c:v>
                </c:pt>
                <c:pt idx="7">
                  <c:v>2515.6459429931215</c:v>
                </c:pt>
                <c:pt idx="8">
                  <c:v>2710.7751315917458</c:v>
                </c:pt>
                <c:pt idx="9">
                  <c:v>2905.9043201903701</c:v>
                </c:pt>
                <c:pt idx="10">
                  <c:v>3101.0335087889944</c:v>
                </c:pt>
                <c:pt idx="11">
                  <c:v>3296.1626973876187</c:v>
                </c:pt>
                <c:pt idx="12">
                  <c:v>3491.291885986243</c:v>
                </c:pt>
                <c:pt idx="13">
                  <c:v>3491.291885986243</c:v>
                </c:pt>
                <c:pt idx="14">
                  <c:v>3840.4210745848677</c:v>
                </c:pt>
                <c:pt idx="15">
                  <c:v>4000</c:v>
                </c:pt>
                <c:pt idx="16">
                  <c:v>4000</c:v>
                </c:pt>
                <c:pt idx="17">
                  <c:v>4000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  <c:pt idx="23">
                  <c:v>4000</c:v>
                </c:pt>
                <c:pt idx="24">
                  <c:v>4000</c:v>
                </c:pt>
                <c:pt idx="25">
                  <c:v>4000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4000</c:v>
                </c:pt>
                <c:pt idx="30">
                  <c:v>4000</c:v>
                </c:pt>
              </c:numCache>
            </c:numRef>
          </c:xVal>
          <c:yVal>
            <c:numRef>
              <c:f>'absorbing mode datasheet'!$U$100:$U$130</c:f>
              <c:numCache>
                <c:formatCode>0.0</c:formatCode>
                <c:ptCount val="31"/>
                <c:pt idx="0">
                  <c:v>1031.2721553654512</c:v>
                </c:pt>
                <c:pt idx="1">
                  <c:v>1031.2721553654512</c:v>
                </c:pt>
                <c:pt idx="2">
                  <c:v>1031.2721553654512</c:v>
                </c:pt>
                <c:pt idx="3">
                  <c:v>915.29733330431168</c:v>
                </c:pt>
                <c:pt idx="4">
                  <c:v>822.77022497310202</c:v>
                </c:pt>
                <c:pt idx="5">
                  <c:v>747.23271408059293</c:v>
                </c:pt>
                <c:pt idx="6">
                  <c:v>684.39890220796985</c:v>
                </c:pt>
                <c:pt idx="7">
                  <c:v>631.31265498085133</c:v>
                </c:pt>
                <c:pt idx="8">
                  <c:v>585.8690013620718</c:v>
                </c:pt>
                <c:pt idx="9">
                  <c:v>546.5283589098874</c:v>
                </c:pt>
                <c:pt idx="10">
                  <c:v>512.13865144043473</c:v>
                </c:pt>
                <c:pt idx="11">
                  <c:v>481.82060931685629</c:v>
                </c:pt>
                <c:pt idx="12">
                  <c:v>454.89153331393874</c:v>
                </c:pt>
                <c:pt idx="13">
                  <c:v>454.89153331393874</c:v>
                </c:pt>
                <c:pt idx="14">
                  <c:v>379.90558540196463</c:v>
                </c:pt>
                <c:pt idx="15">
                  <c:v>351.76960463897223</c:v>
                </c:pt>
                <c:pt idx="16">
                  <c:v>351.76960463897223</c:v>
                </c:pt>
                <c:pt idx="17">
                  <c:v>351.76960463897223</c:v>
                </c:pt>
                <c:pt idx="18">
                  <c:v>351.76960463897223</c:v>
                </c:pt>
                <c:pt idx="19">
                  <c:v>351.76960463897223</c:v>
                </c:pt>
                <c:pt idx="20">
                  <c:v>351.76960463897223</c:v>
                </c:pt>
                <c:pt idx="21">
                  <c:v>351.76960463897223</c:v>
                </c:pt>
                <c:pt idx="22">
                  <c:v>351.76960463897223</c:v>
                </c:pt>
                <c:pt idx="23">
                  <c:v>351.76960463897223</c:v>
                </c:pt>
                <c:pt idx="24">
                  <c:v>351.76960463897223</c:v>
                </c:pt>
                <c:pt idx="25">
                  <c:v>351.76960463897223</c:v>
                </c:pt>
                <c:pt idx="26">
                  <c:v>351.76960463897223</c:v>
                </c:pt>
                <c:pt idx="27">
                  <c:v>351.76960463897223</c:v>
                </c:pt>
                <c:pt idx="28">
                  <c:v>351.76960463897223</c:v>
                </c:pt>
                <c:pt idx="29">
                  <c:v>351.76960463897223</c:v>
                </c:pt>
                <c:pt idx="30">
                  <c:v>351.76960463897223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F35A-47FB-8144-926F303024CF}"/>
            </c:ext>
          </c:extLst>
        </c:ser>
        <c:ser>
          <c:idx val="6"/>
          <c:order val="1"/>
          <c:tx>
            <c:strRef>
              <c:f>'absorbing mode datasheet'!$S$99</c:f>
              <c:strCache>
                <c:ptCount val="1"/>
                <c:pt idx="0">
                  <c:v>rpm S6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datasheet'!$P$100:$P$130</c:f>
              <c:numCache>
                <c:formatCode>0</c:formatCode>
                <c:ptCount val="31"/>
                <c:pt idx="0">
                  <c:v>10</c:v>
                </c:pt>
                <c:pt idx="1">
                  <c:v>1540</c:v>
                </c:pt>
                <c:pt idx="2">
                  <c:v>1540</c:v>
                </c:pt>
                <c:pt idx="3">
                  <c:v>1786</c:v>
                </c:pt>
                <c:pt idx="4">
                  <c:v>2032</c:v>
                </c:pt>
                <c:pt idx="5">
                  <c:v>2278</c:v>
                </c:pt>
                <c:pt idx="6">
                  <c:v>2524</c:v>
                </c:pt>
                <c:pt idx="7">
                  <c:v>2770</c:v>
                </c:pt>
                <c:pt idx="8">
                  <c:v>3016</c:v>
                </c:pt>
                <c:pt idx="9">
                  <c:v>3262</c:v>
                </c:pt>
                <c:pt idx="10">
                  <c:v>3508</c:v>
                </c:pt>
                <c:pt idx="11">
                  <c:v>3754</c:v>
                </c:pt>
                <c:pt idx="12">
                  <c:v>4000</c:v>
                </c:pt>
                <c:pt idx="13">
                  <c:v>4000</c:v>
                </c:pt>
                <c:pt idx="14">
                  <c:v>4000</c:v>
                </c:pt>
                <c:pt idx="15">
                  <c:v>4000</c:v>
                </c:pt>
                <c:pt idx="16">
                  <c:v>4000</c:v>
                </c:pt>
                <c:pt idx="17">
                  <c:v>4000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  <c:pt idx="23">
                  <c:v>4000</c:v>
                </c:pt>
                <c:pt idx="24">
                  <c:v>4000</c:v>
                </c:pt>
                <c:pt idx="25">
                  <c:v>4000</c:v>
                </c:pt>
                <c:pt idx="26">
                  <c:v>4000</c:v>
                </c:pt>
                <c:pt idx="27">
                  <c:v>4000</c:v>
                </c:pt>
                <c:pt idx="28">
                  <c:v>4000</c:v>
                </c:pt>
                <c:pt idx="29">
                  <c:v>4000</c:v>
                </c:pt>
                <c:pt idx="30">
                  <c:v>4000</c:v>
                </c:pt>
              </c:numCache>
            </c:numRef>
          </c:xVal>
          <c:yVal>
            <c:numRef>
              <c:f>'absorbing mode datasheet'!$R$100:$R$130</c:f>
              <c:numCache>
                <c:formatCode>0.0</c:formatCode>
                <c:ptCount val="31"/>
                <c:pt idx="0">
                  <c:v>705</c:v>
                </c:pt>
                <c:pt idx="1">
                  <c:v>705</c:v>
                </c:pt>
                <c:pt idx="2">
                  <c:v>705</c:v>
                </c:pt>
                <c:pt idx="3">
                  <c:v>607.89473684210532</c:v>
                </c:pt>
                <c:pt idx="4">
                  <c:v>534.30118110236219</c:v>
                </c:pt>
                <c:pt idx="5">
                  <c:v>476.60228270412642</c:v>
                </c:pt>
                <c:pt idx="6">
                  <c:v>430.15055467511888</c:v>
                </c:pt>
                <c:pt idx="7">
                  <c:v>391.94945848375454</c:v>
                </c:pt>
                <c:pt idx="8">
                  <c:v>359.98010610079575</c:v>
                </c:pt>
                <c:pt idx="9">
                  <c:v>332.83261802575106</c:v>
                </c:pt>
                <c:pt idx="10">
                  <c:v>309.49258836944125</c:v>
                </c:pt>
                <c:pt idx="11">
                  <c:v>289.21150772509321</c:v>
                </c:pt>
                <c:pt idx="12">
                  <c:v>271.42500000000001</c:v>
                </c:pt>
                <c:pt idx="13">
                  <c:v>271.42500000000001</c:v>
                </c:pt>
                <c:pt idx="14">
                  <c:v>271.42500000000001</c:v>
                </c:pt>
                <c:pt idx="15">
                  <c:v>271.42500000000001</c:v>
                </c:pt>
                <c:pt idx="16">
                  <c:v>271.42500000000001</c:v>
                </c:pt>
                <c:pt idx="17">
                  <c:v>271.42500000000001</c:v>
                </c:pt>
                <c:pt idx="18">
                  <c:v>271.42500000000001</c:v>
                </c:pt>
                <c:pt idx="19">
                  <c:v>271.42500000000001</c:v>
                </c:pt>
                <c:pt idx="20">
                  <c:v>271.42500000000001</c:v>
                </c:pt>
                <c:pt idx="21">
                  <c:v>271.42500000000001</c:v>
                </c:pt>
                <c:pt idx="22">
                  <c:v>271.42500000000001</c:v>
                </c:pt>
                <c:pt idx="23">
                  <c:v>271.42500000000001</c:v>
                </c:pt>
                <c:pt idx="24">
                  <c:v>271.42500000000001</c:v>
                </c:pt>
                <c:pt idx="25">
                  <c:v>271.42500000000001</c:v>
                </c:pt>
                <c:pt idx="26">
                  <c:v>271.42500000000001</c:v>
                </c:pt>
                <c:pt idx="27">
                  <c:v>271.42500000000001</c:v>
                </c:pt>
                <c:pt idx="28">
                  <c:v>271.42500000000001</c:v>
                </c:pt>
                <c:pt idx="29">
                  <c:v>271.42500000000001</c:v>
                </c:pt>
                <c:pt idx="30">
                  <c:v>271.42500000000001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F35A-47FB-8144-926F303024CF}"/>
            </c:ext>
          </c:extLst>
        </c:ser>
        <c:ser>
          <c:idx val="7"/>
          <c:order val="2"/>
          <c:tx>
            <c:strRef>
              <c:f>'absorbing mode datasheet'!$B$91</c:f>
              <c:strCache>
                <c:ptCount val="1"/>
                <c:pt idx="0">
                  <c:v>Nm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datasheet'!$B$92:$B$111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C-F35A-47FB-8144-926F303024CF}"/>
            </c:ext>
          </c:extLst>
        </c:ser>
        <c:ser>
          <c:idx val="8"/>
          <c:order val="3"/>
          <c:tx>
            <c:strRef>
              <c:f>'absorbing mode datasheet'!$C$91</c:f>
              <c:strCache>
                <c:ptCount val="1"/>
                <c:pt idx="0">
                  <c:v>Nm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datasheet'!$C$92:$C$111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D-F35A-47FB-8144-926F303024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060416"/>
        <c:axId val="128078976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'absorbing mode datasheet'!$V$99</c15:sqref>
                        </c15:formulaRef>
                      </c:ext>
                    </c:extLst>
                    <c:strCache>
                      <c:ptCount val="1"/>
                      <c:pt idx="0">
                        <c:v>rpm limit</c:v>
                      </c:pt>
                    </c:strCache>
                  </c:strRef>
                </c:tx>
                <c:spPr>
                  <a:ln>
                    <a:solidFill>
                      <a:schemeClr val="bg1">
                        <a:lumMod val="65000"/>
                      </a:schemeClr>
                    </a:solidFill>
                    <a:prstDash val="dash"/>
                  </a:ln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'absorbing mode datasheet'!$V$100:$V$131</c15:sqref>
                        </c15:formulaRef>
                      </c:ext>
                    </c:extLst>
                    <c:numCache>
                      <c:formatCode>0</c:formatCode>
                      <c:ptCount val="32"/>
                      <c:pt idx="0">
                        <c:v>10</c:v>
                      </c:pt>
                      <c:pt idx="1">
                        <c:v>1281.0186476083695</c:v>
                      </c:pt>
                      <c:pt idx="2">
                        <c:v>1281.0186476083695</c:v>
                      </c:pt>
                      <c:pt idx="3">
                        <c:v>1409.1205123692066</c:v>
                      </c:pt>
                      <c:pt idx="4">
                        <c:v>1550.0325636061275</c:v>
                      </c:pt>
                      <c:pt idx="5">
                        <c:v>1705.0358199667403</c:v>
                      </c:pt>
                      <c:pt idx="6">
                        <c:v>1875.5394019634145</c:v>
                      </c:pt>
                      <c:pt idx="7">
                        <c:v>2063.093342159756</c:v>
                      </c:pt>
                      <c:pt idx="8">
                        <c:v>2269.402676375732</c:v>
                      </c:pt>
                      <c:pt idx="9">
                        <c:v>2496.3429440133054</c:v>
                      </c:pt>
                      <c:pt idx="10">
                        <c:v>2745.9772384146363</c:v>
                      </c:pt>
                      <c:pt idx="11">
                        <c:v>3020.5749622561002</c:v>
                      </c:pt>
                      <c:pt idx="12">
                        <c:v>3322.6324584817103</c:v>
                      </c:pt>
                      <c:pt idx="13">
                        <c:v>3654.8957043298815</c:v>
                      </c:pt>
                      <c:pt idx="14">
                        <c:v>4000</c:v>
                      </c:pt>
                      <c:pt idx="15">
                        <c:v>4000</c:v>
                      </c:pt>
                      <c:pt idx="16">
                        <c:v>4000</c:v>
                      </c:pt>
                      <c:pt idx="17">
                        <c:v>4000</c:v>
                      </c:pt>
                      <c:pt idx="18">
                        <c:v>4000</c:v>
                      </c:pt>
                      <c:pt idx="19">
                        <c:v>4000</c:v>
                      </c:pt>
                      <c:pt idx="20">
                        <c:v>4000</c:v>
                      </c:pt>
                      <c:pt idx="21">
                        <c:v>4000</c:v>
                      </c:pt>
                      <c:pt idx="22">
                        <c:v>4000</c:v>
                      </c:pt>
                      <c:pt idx="23">
                        <c:v>4000</c:v>
                      </c:pt>
                      <c:pt idx="24">
                        <c:v>4000</c:v>
                      </c:pt>
                      <c:pt idx="25">
                        <c:v>4000</c:v>
                      </c:pt>
                      <c:pt idx="26">
                        <c:v>4000</c:v>
                      </c:pt>
                      <c:pt idx="27">
                        <c:v>4000</c:v>
                      </c:pt>
                      <c:pt idx="28">
                        <c:v>4000</c:v>
                      </c:pt>
                      <c:pt idx="29">
                        <c:v>4000</c:v>
                      </c:pt>
                      <c:pt idx="30">
                        <c:v>4000</c:v>
                      </c:pt>
                      <c:pt idx="31">
                        <c:v>4000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'absorbing mode datasheet'!$X$100:$X$131</c15:sqref>
                        </c15:formulaRef>
                      </c:ext>
                    </c:extLst>
                    <c:numCache>
                      <c:formatCode>0.0</c:formatCode>
                      <c:ptCount val="32"/>
                      <c:pt idx="0">
                        <c:v>212.27535494506813</c:v>
                      </c:pt>
                      <c:pt idx="1">
                        <c:v>212.27535494506813</c:v>
                      </c:pt>
                      <c:pt idx="2">
                        <c:v>212.27535494506813</c:v>
                      </c:pt>
                      <c:pt idx="3">
                        <c:v>177.28312593402327</c:v>
                      </c:pt>
                      <c:pt idx="4">
                        <c:v>148.05914115216964</c:v>
                      </c:pt>
                      <c:pt idx="5">
                        <c:v>123.65254258251451</c:v>
                      </c:pt>
                      <c:pt idx="6">
                        <c:v>103.26921504566965</c:v>
                      </c:pt>
                      <c:pt idx="7">
                        <c:v>86.245948149689056</c:v>
                      </c:pt>
                      <c:pt idx="8">
                        <c:v>72.028857476541475</c:v>
                      </c:pt>
                      <c:pt idx="9">
                        <c:v>60.155362897412004</c:v>
                      </c:pt>
                      <c:pt idx="10">
                        <c:v>50.239137646989178</c:v>
                      </c:pt>
                      <c:pt idx="11">
                        <c:v>41.957538446197482</c:v>
                      </c:pt>
                      <c:pt idx="12">
                        <c:v>35.041107688472479</c:v>
                      </c:pt>
                      <c:pt idx="13">
                        <c:v>29.264806123210622</c:v>
                      </c:pt>
                      <c:pt idx="14">
                        <c:v>24.67663832932838</c:v>
                      </c:pt>
                      <c:pt idx="15">
                        <c:v>24.67663832932838</c:v>
                      </c:pt>
                      <c:pt idx="16">
                        <c:v>24.67663832932838</c:v>
                      </c:pt>
                      <c:pt idx="17">
                        <c:v>24.67663832932838</c:v>
                      </c:pt>
                      <c:pt idx="18">
                        <c:v>24.67663832932838</c:v>
                      </c:pt>
                      <c:pt idx="19">
                        <c:v>24.67663832932838</c:v>
                      </c:pt>
                      <c:pt idx="20">
                        <c:v>24.67663832932838</c:v>
                      </c:pt>
                      <c:pt idx="21">
                        <c:v>24.67663832932838</c:v>
                      </c:pt>
                      <c:pt idx="22">
                        <c:v>24.67663832932838</c:v>
                      </c:pt>
                      <c:pt idx="23">
                        <c:v>24.67663832932838</c:v>
                      </c:pt>
                      <c:pt idx="24">
                        <c:v>24.67663832932838</c:v>
                      </c:pt>
                      <c:pt idx="25">
                        <c:v>24.67663832932838</c:v>
                      </c:pt>
                      <c:pt idx="26">
                        <c:v>24.67663832932838</c:v>
                      </c:pt>
                      <c:pt idx="27">
                        <c:v>24.67663832932838</c:v>
                      </c:pt>
                      <c:pt idx="28">
                        <c:v>24.67663832932838</c:v>
                      </c:pt>
                      <c:pt idx="29">
                        <c:v>24.67663832932838</c:v>
                      </c:pt>
                      <c:pt idx="30">
                        <c:v>24.67663832932838</c:v>
                      </c:pt>
                      <c:pt idx="31">
                        <c:v>24.67663832932838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1-F35A-47FB-8144-926F303024CF}"/>
                  </c:ext>
                </c:extLst>
              </c15:ser>
            </c15:filteredScatterSeries>
          </c:ext>
        </c:extLst>
      </c:scatterChart>
      <c:valAx>
        <c:axId val="128060416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254803893314993"/>
              <c:y val="0.9181084182658988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8078976"/>
        <c:crosses val="autoZero"/>
        <c:crossBetween val="midCat"/>
      </c:valAx>
      <c:valAx>
        <c:axId val="12807897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Nm</a:t>
                </a:r>
              </a:p>
            </c:rich>
          </c:tx>
          <c:layout>
            <c:manualLayout>
              <c:xMode val="edge"/>
              <c:yMode val="edge"/>
              <c:x val="2.0124749112243337E-2"/>
              <c:y val="0.422304384660081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8060416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091672070402967"/>
          <c:y val="0.10766861950679985"/>
          <c:w val="0.86000370541917581"/>
          <c:h val="7.426522128794810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Nm vs rpm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972618881545029"/>
          <c:y val="0.16050010896652361"/>
          <c:w val="0.75843133773564109"/>
          <c:h val="0.72395367482622797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'limit 480V'!$E$1</c:f>
              <c:strCache>
                <c:ptCount val="1"/>
                <c:pt idx="0">
                  <c:v>Corba parell-velocitat a Nnom</c:v>
                </c:pt>
              </c:strCache>
            </c:strRef>
          </c:tx>
          <c:marker>
            <c:symbol val="none"/>
          </c:marker>
          <c:xVal>
            <c:numRef>
              <c:f>'limit 480V'!$I$3:$I$25</c:f>
              <c:numCache>
                <c:formatCode>0</c:formatCode>
                <c:ptCount val="23"/>
                <c:pt idx="0">
                  <c:v>1279.9999989999999</c:v>
                </c:pt>
                <c:pt idx="1">
                  <c:v>1279.9999989999999</c:v>
                </c:pt>
                <c:pt idx="2">
                  <c:v>1279.9999989999999</c:v>
                </c:pt>
                <c:pt idx="3">
                  <c:v>1279.9999989999999</c:v>
                </c:pt>
                <c:pt idx="4">
                  <c:v>1279.9999989999999</c:v>
                </c:pt>
                <c:pt idx="5">
                  <c:v>1279.9999989999999</c:v>
                </c:pt>
                <c:pt idx="6">
                  <c:v>1279.9999989999999</c:v>
                </c:pt>
                <c:pt idx="7">
                  <c:v>1279.9999989999999</c:v>
                </c:pt>
                <c:pt idx="8">
                  <c:v>1279.9999989999999</c:v>
                </c:pt>
                <c:pt idx="9">
                  <c:v>1279.9999989999999</c:v>
                </c:pt>
                <c:pt idx="10">
                  <c:v>1279.9999989999999</c:v>
                </c:pt>
                <c:pt idx="11">
                  <c:v>1279.9999989999999</c:v>
                </c:pt>
                <c:pt idx="12">
                  <c:v>1279.9999989999999</c:v>
                </c:pt>
                <c:pt idx="13">
                  <c:v>1279.9999989999999</c:v>
                </c:pt>
                <c:pt idx="14">
                  <c:v>1279.9999989999999</c:v>
                </c:pt>
                <c:pt idx="15">
                  <c:v>1279.9999989999999</c:v>
                </c:pt>
                <c:pt idx="16">
                  <c:v>1279.9999989999999</c:v>
                </c:pt>
                <c:pt idx="17">
                  <c:v>1279.9999989999999</c:v>
                </c:pt>
                <c:pt idx="18">
                  <c:v>1279.9999989999999</c:v>
                </c:pt>
                <c:pt idx="19">
                  <c:v>1279.9999989999999</c:v>
                </c:pt>
                <c:pt idx="20">
                  <c:v>1279.9999989999999</c:v>
                </c:pt>
              </c:numCache>
            </c:numRef>
          </c:xVal>
          <c:yVal>
            <c:numRef>
              <c:f>'limit 480V'!$K$3:$K$25</c:f>
              <c:numCache>
                <c:formatCode>0</c:formatCode>
                <c:ptCount val="23"/>
                <c:pt idx="0">
                  <c:v>4.9909680614943019E-5</c:v>
                </c:pt>
                <c:pt idx="1">
                  <c:v>502.96529989787007</c:v>
                </c:pt>
                <c:pt idx="2">
                  <c:v>1013.5428808514705</c:v>
                </c:pt>
                <c:pt idx="3">
                  <c:v>1230.2815022927978</c:v>
                </c:pt>
                <c:pt idx="4">
                  <c:v>1440.5946716476474</c:v>
                </c:pt>
                <c:pt idx="5">
                  <c:v>1644.4906792147963</c:v>
                </c:pt>
                <c:pt idx="6">
                  <c:v>1841.9802578127726</c:v>
                </c:pt>
                <c:pt idx="7">
                  <c:v>2033.0765754060174</c:v>
                </c:pt>
                <c:pt idx="8">
                  <c:v>2217.7952271564836</c:v>
                </c:pt>
                <c:pt idx="9">
                  <c:v>2396.154226900705</c:v>
                </c:pt>
                <c:pt idx="10">
                  <c:v>2568.1739980522993</c:v>
                </c:pt>
                <c:pt idx="11">
                  <c:v>2733.8773639299261</c:v>
                </c:pt>
                <c:pt idx="12">
                  <c:v>2893.2895375106982</c:v>
                </c:pt>
                <c:pt idx="13">
                  <c:v>3046.4381106090264</c:v>
                </c:pt>
                <c:pt idx="14">
                  <c:v>3193.3530424809474</c:v>
                </c:pt>
                <c:pt idx="15">
                  <c:v>3334.0666478538565</c:v>
                </c:pt>
                <c:pt idx="16">
                  <c:v>3383.811284720965</c:v>
                </c:pt>
                <c:pt idx="17">
                  <c:v>3383.3552791818202</c:v>
                </c:pt>
                <c:pt idx="18">
                  <c:v>3378.8023100396281</c:v>
                </c:pt>
                <c:pt idx="19">
                  <c:v>3345.7782393734287</c:v>
                </c:pt>
                <c:pt idx="20">
                  <c:v>3289.4892702343168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B4D-44FC-A6F1-F61EAC45FFF8}"/>
            </c:ext>
          </c:extLst>
        </c:ser>
        <c:ser>
          <c:idx val="3"/>
          <c:order val="1"/>
          <c:tx>
            <c:strRef>
              <c:f>'limit 480V'!$E$25</c:f>
              <c:strCache>
                <c:ptCount val="1"/>
                <c:pt idx="0">
                  <c:v>Limit 480V</c:v>
                </c:pt>
              </c:strCache>
            </c:strRef>
          </c:tx>
          <c:marker>
            <c:symbol val="x"/>
            <c:size val="6"/>
          </c:marker>
          <c:xVal>
            <c:numRef>
              <c:f>'limit 480V'!$I$27:$I$56</c:f>
              <c:numCache>
                <c:formatCode>0</c:formatCode>
                <c:ptCount val="30"/>
                <c:pt idx="0">
                  <c:v>1280</c:v>
                </c:pt>
                <c:pt idx="1">
                  <c:v>1443.522727272727</c:v>
                </c:pt>
                <c:pt idx="2">
                  <c:v>1607.045454545454</c:v>
                </c:pt>
                <c:pt idx="3">
                  <c:v>1770.5681818181813</c:v>
                </c:pt>
                <c:pt idx="4">
                  <c:v>1934.0909090909086</c:v>
                </c:pt>
                <c:pt idx="5">
                  <c:v>2097.6136363636356</c:v>
                </c:pt>
                <c:pt idx="6">
                  <c:v>2261.1363636363626</c:v>
                </c:pt>
                <c:pt idx="7">
                  <c:v>2424.6590909090901</c:v>
                </c:pt>
                <c:pt idx="8">
                  <c:v>2588.1818181818171</c:v>
                </c:pt>
                <c:pt idx="9">
                  <c:v>2751.7045454545437</c:v>
                </c:pt>
                <c:pt idx="10">
                  <c:v>2915.2272727272712</c:v>
                </c:pt>
                <c:pt idx="11">
                  <c:v>3078.7499999999982</c:v>
                </c:pt>
                <c:pt idx="12">
                  <c:v>3242.2727272727261</c:v>
                </c:pt>
                <c:pt idx="13">
                  <c:v>3405.7954545454527</c:v>
                </c:pt>
                <c:pt idx="14">
                  <c:v>3569.3181818181797</c:v>
                </c:pt>
                <c:pt idx="15">
                  <c:v>3732.8409090909072</c:v>
                </c:pt>
                <c:pt idx="16">
                  <c:v>3896.3636363636342</c:v>
                </c:pt>
                <c:pt idx="17">
                  <c:v>4059.8863636363612</c:v>
                </c:pt>
                <c:pt idx="18">
                  <c:v>4223.4090909090874</c:v>
                </c:pt>
                <c:pt idx="19">
                  <c:v>4386.9318181818153</c:v>
                </c:pt>
                <c:pt idx="20">
                  <c:v>4550.4545454545423</c:v>
                </c:pt>
                <c:pt idx="21">
                  <c:v>4713.9772727272702</c:v>
                </c:pt>
                <c:pt idx="22">
                  <c:v>4877.5</c:v>
                </c:pt>
                <c:pt idx="23">
                  <c:v>5125.8</c:v>
                </c:pt>
                <c:pt idx="24">
                  <c:v>5386.5150000000003</c:v>
                </c:pt>
                <c:pt idx="25">
                  <c:v>5660.2657500000014</c:v>
                </c:pt>
                <c:pt idx="26">
                  <c:v>5947.7040375000024</c:v>
                </c:pt>
                <c:pt idx="27">
                  <c:v>6249.514239375002</c:v>
                </c:pt>
                <c:pt idx="28">
                  <c:v>6566.4149513437524</c:v>
                </c:pt>
                <c:pt idx="29">
                  <c:v>6899.1606989109396</c:v>
                </c:pt>
              </c:numCache>
            </c:numRef>
          </c:xVal>
          <c:yVal>
            <c:numRef>
              <c:f>'limit 480V'!$K$27:$K$56</c:f>
              <c:numCache>
                <c:formatCode>0</c:formatCode>
                <c:ptCount val="30"/>
                <c:pt idx="0">
                  <c:v>3334.0666428180261</c:v>
                </c:pt>
                <c:pt idx="1">
                  <c:v>2653.2841413323395</c:v>
                </c:pt>
                <c:pt idx="2">
                  <c:v>2163.4425199846755</c:v>
                </c:pt>
                <c:pt idx="3">
                  <c:v>1799.1483987963461</c:v>
                </c:pt>
                <c:pt idx="4">
                  <c:v>1520.7958971031981</c:v>
                </c:pt>
                <c:pt idx="5">
                  <c:v>1303.2598931140085</c:v>
                </c:pt>
                <c:pt idx="6">
                  <c:v>1129.9765984222067</c:v>
                </c:pt>
                <c:pt idx="7">
                  <c:v>989.66619966682276</c:v>
                </c:pt>
                <c:pt idx="8">
                  <c:v>874.43112529120299</c:v>
                </c:pt>
                <c:pt idx="9">
                  <c:v>778.60756569533839</c:v>
                </c:pt>
                <c:pt idx="10">
                  <c:v>698.04759849869833</c:v>
                </c:pt>
                <c:pt idx="11">
                  <c:v>629.65680997264712</c:v>
                </c:pt>
                <c:pt idx="12">
                  <c:v>571.08852433188883</c:v>
                </c:pt>
                <c:pt idx="13">
                  <c:v>520.53681820436964</c:v>
                </c:pt>
                <c:pt idx="14">
                  <c:v>476.59345385665074</c:v>
                </c:pt>
                <c:pt idx="15">
                  <c:v>438.14712359541392</c:v>
                </c:pt>
                <c:pt idx="16">
                  <c:v>404.3112820121105</c:v>
                </c:pt>
                <c:pt idx="17">
                  <c:v>374.37165524670553</c:v>
                </c:pt>
                <c:pt idx="18">
                  <c:v>347.74752416820434</c:v>
                </c:pt>
                <c:pt idx="19">
                  <c:v>323.96279885616246</c:v>
                </c:pt>
                <c:pt idx="20">
                  <c:v>302.62415223359557</c:v>
                </c:pt>
                <c:pt idx="21">
                  <c:v>283.40430960582916</c:v>
                </c:pt>
                <c:pt idx="22">
                  <c:v>266.02914943351931</c:v>
                </c:pt>
                <c:pt idx="23">
                  <c:v>241.09548041865654</c:v>
                </c:pt>
                <c:pt idx="24">
                  <c:v>218.50721708743339</c:v>
                </c:pt>
                <c:pt idx="25">
                  <c:v>198.04259435106007</c:v>
                </c:pt>
                <c:pt idx="26">
                  <c:v>179.50096855635397</c:v>
                </c:pt>
                <c:pt idx="27">
                  <c:v>162.70078555527306</c:v>
                </c:pt>
                <c:pt idx="28">
                  <c:v>147.47774690273843</c:v>
                </c:pt>
                <c:pt idx="29">
                  <c:v>133.68315452427237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B4D-44FC-A6F1-F61EAC45FFF8}"/>
            </c:ext>
          </c:extLst>
        </c:ser>
        <c:ser>
          <c:idx val="4"/>
          <c:order val="2"/>
          <c:tx>
            <c:strRef>
              <c:f>'limit 480V'!$E$58</c:f>
              <c:strCache>
                <c:ptCount val="1"/>
                <c:pt idx="0">
                  <c:v>Corba parell-velocitat a N1</c:v>
                </c:pt>
              </c:strCache>
            </c:strRef>
          </c:tx>
          <c:marker>
            <c:symbol val="none"/>
          </c:marker>
          <c:xVal>
            <c:numRef>
              <c:f>'limit 480V'!$I$60:$I$75</c:f>
              <c:numCache>
                <c:formatCode>0</c:formatCode>
                <c:ptCount val="16"/>
                <c:pt idx="0">
                  <c:v>4877.5</c:v>
                </c:pt>
                <c:pt idx="1">
                  <c:v>4877.5</c:v>
                </c:pt>
                <c:pt idx="2">
                  <c:v>4877.5</c:v>
                </c:pt>
                <c:pt idx="3">
                  <c:v>4877.5</c:v>
                </c:pt>
                <c:pt idx="4">
                  <c:v>4877.5</c:v>
                </c:pt>
                <c:pt idx="5">
                  <c:v>4877.5</c:v>
                </c:pt>
                <c:pt idx="6">
                  <c:v>4877.5</c:v>
                </c:pt>
                <c:pt idx="7">
                  <c:v>4877.5</c:v>
                </c:pt>
                <c:pt idx="8">
                  <c:v>4877.5</c:v>
                </c:pt>
                <c:pt idx="9">
                  <c:v>4877.5</c:v>
                </c:pt>
                <c:pt idx="10">
                  <c:v>4877.5</c:v>
                </c:pt>
                <c:pt idx="11">
                  <c:v>4877.5</c:v>
                </c:pt>
                <c:pt idx="12">
                  <c:v>4877.5</c:v>
                </c:pt>
                <c:pt idx="13">
                  <c:v>4877.5</c:v>
                </c:pt>
                <c:pt idx="14">
                  <c:v>4877.5</c:v>
                </c:pt>
                <c:pt idx="15">
                  <c:v>4877.5</c:v>
                </c:pt>
              </c:numCache>
            </c:numRef>
          </c:xVal>
          <c:yVal>
            <c:numRef>
              <c:f>'limit 480V'!$K$60:$K$75</c:f>
              <c:numCache>
                <c:formatCode>0</c:formatCode>
                <c:ptCount val="16"/>
                <c:pt idx="0">
                  <c:v>2.9533813087610345E-6</c:v>
                </c:pt>
                <c:pt idx="1">
                  <c:v>23.80042735137247</c:v>
                </c:pt>
                <c:pt idx="2">
                  <c:v>47.678851037938038</c:v>
                </c:pt>
                <c:pt idx="3">
                  <c:v>71.63488226664559</c:v>
                </c:pt>
                <c:pt idx="4">
                  <c:v>95.668126731644435</c:v>
                </c:pt>
                <c:pt idx="5">
                  <c:v>119.77818756766574</c:v>
                </c:pt>
                <c:pt idx="6">
                  <c:v>143.9646653500225</c:v>
                </c:pt>
                <c:pt idx="7">
                  <c:v>168.22715809460968</c:v>
                </c:pt>
                <c:pt idx="8">
                  <c:v>192.56526125790344</c:v>
                </c:pt>
                <c:pt idx="9">
                  <c:v>216.97856773696262</c:v>
                </c:pt>
                <c:pt idx="10">
                  <c:v>241.46666786942731</c:v>
                </c:pt>
                <c:pt idx="11">
                  <c:v>266.02914943351931</c:v>
                </c:pt>
                <c:pt idx="12">
                  <c:v>269.16822564007515</c:v>
                </c:pt>
                <c:pt idx="13">
                  <c:v>271.43303395131903</c:v>
                </c:pt>
                <c:pt idx="14">
                  <c:v>280.73073918143888</c:v>
                </c:pt>
                <c:pt idx="15">
                  <c:v>287.87929619155028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3B4D-44FC-A6F1-F61EAC45FFF8}"/>
            </c:ext>
          </c:extLst>
        </c:ser>
        <c:ser>
          <c:idx val="0"/>
          <c:order val="3"/>
          <c:tx>
            <c:strRef>
              <c:f>'limit 480V'!$E$82</c:f>
              <c:strCache>
                <c:ptCount val="1"/>
                <c:pt idx="0">
                  <c:v>corba a pnom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'limit 480V'!$I$84:$I$92</c:f>
              <c:numCache>
                <c:formatCode>0</c:formatCode>
                <c:ptCount val="9"/>
                <c:pt idx="0">
                  <c:v>1280</c:v>
                </c:pt>
                <c:pt idx="1">
                  <c:v>1536</c:v>
                </c:pt>
                <c:pt idx="2">
                  <c:v>1843.2</c:v>
                </c:pt>
                <c:pt idx="3">
                  <c:v>2211.84</c:v>
                </c:pt>
                <c:pt idx="4">
                  <c:v>2654.2079999999996</c:v>
                </c:pt>
                <c:pt idx="5">
                  <c:v>3185.0495999999994</c:v>
                </c:pt>
                <c:pt idx="6">
                  <c:v>3822.0595199999989</c:v>
                </c:pt>
                <c:pt idx="7">
                  <c:v>4586.4714239999985</c:v>
                </c:pt>
                <c:pt idx="8">
                  <c:v>4877.5</c:v>
                </c:pt>
              </c:numCache>
            </c:numRef>
          </c:xVal>
          <c:yVal>
            <c:numRef>
              <c:f>'limit 480V'!$K$84:$K$92</c:f>
              <c:numCache>
                <c:formatCode>0</c:formatCode>
                <c:ptCount val="9"/>
                <c:pt idx="0">
                  <c:v>1013.54288005964</c:v>
                </c:pt>
                <c:pt idx="1">
                  <c:v>844.61906671636666</c:v>
                </c:pt>
                <c:pt idx="2">
                  <c:v>703.84922226363904</c:v>
                </c:pt>
                <c:pt idx="3">
                  <c:v>586.54101855303236</c:v>
                </c:pt>
                <c:pt idx="4">
                  <c:v>488.78418212752706</c:v>
                </c:pt>
                <c:pt idx="5">
                  <c:v>407.32015177293925</c:v>
                </c:pt>
                <c:pt idx="6">
                  <c:v>339.43345981078278</c:v>
                </c:pt>
                <c:pt idx="7">
                  <c:v>282.86121650898559</c:v>
                </c:pt>
                <c:pt idx="8" formatCode="0.00">
                  <c:v>266.02914943351931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3B4D-44FC-A6F1-F61EAC45F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699776"/>
        <c:axId val="124701696"/>
      </c:scatterChart>
      <c:valAx>
        <c:axId val="124699776"/>
        <c:scaling>
          <c:orientation val="minMax"/>
          <c:min val="0"/>
        </c:scaling>
        <c:delete val="0"/>
        <c:axPos val="b"/>
        <c:minorGridlines>
          <c:spPr>
            <a:ln>
              <a:prstDash val="sysDot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/>
                  <a:t>rpm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24701696"/>
        <c:crosses val="autoZero"/>
        <c:crossBetween val="midCat"/>
        <c:majorUnit val="1000"/>
      </c:valAx>
      <c:valAx>
        <c:axId val="124701696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/>
                  <a:t>Nm</a:t>
                </a:r>
              </a:p>
            </c:rich>
          </c:tx>
          <c:layout>
            <c:manualLayout>
              <c:xMode val="edge"/>
              <c:yMode val="edge"/>
              <c:x val="9.1964098141775349E-2"/>
              <c:y val="0.11891442253103954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2469977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551229995943447"/>
          <c:y val="8.3072100313479724E-2"/>
          <c:w val="0.17381087855317978"/>
          <c:h val="0.1771159874608152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workbookViewId="0"/>
  </sheetViews>
  <pageMargins left="0.7" right="0.7" top="0.75" bottom="0.75" header="0.3" footer="0.3"/>
  <drawing r:id="rId1"/>
</chartsheet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</xdr:row>
          <xdr:rowOff>161925</xdr:rowOff>
        </xdr:from>
        <xdr:to>
          <xdr:col>0</xdr:col>
          <xdr:colOff>1819275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111</xdr:row>
      <xdr:rowOff>276225</xdr:rowOff>
    </xdr:from>
    <xdr:to>
      <xdr:col>14</xdr:col>
      <xdr:colOff>9525</xdr:colOff>
      <xdr:row>135</xdr:row>
      <xdr:rowOff>0</xdr:rowOff>
    </xdr:to>
    <xdr:graphicFrame macro="">
      <xdr:nvGraphicFramePr>
        <xdr:cNvPr id="2068" name="Gráfico 2">
          <a:extLst>
            <a:ext uri="{FF2B5EF4-FFF2-40B4-BE49-F238E27FC236}">
              <a16:creationId xmlns:a16="http://schemas.microsoft.com/office/drawing/2014/main" id="{00000000-0008-0000-0100-000014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87</xdr:row>
      <xdr:rowOff>238125</xdr:rowOff>
    </xdr:from>
    <xdr:to>
      <xdr:col>14</xdr:col>
      <xdr:colOff>0</xdr:colOff>
      <xdr:row>111</xdr:row>
      <xdr:rowOff>9525</xdr:rowOff>
    </xdr:to>
    <xdr:graphicFrame macro="">
      <xdr:nvGraphicFramePr>
        <xdr:cNvPr id="2069" name="Gráfico 3">
          <a:extLst>
            <a:ext uri="{FF2B5EF4-FFF2-40B4-BE49-F238E27FC236}">
              <a16:creationId xmlns:a16="http://schemas.microsoft.com/office/drawing/2014/main" id="{00000000-0008-0000-0100-000015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66675</xdr:colOff>
      <xdr:row>143</xdr:row>
      <xdr:rowOff>28575</xdr:rowOff>
    </xdr:from>
    <xdr:to>
      <xdr:col>12</xdr:col>
      <xdr:colOff>517525</xdr:colOff>
      <xdr:row>143</xdr:row>
      <xdr:rowOff>904875</xdr:rowOff>
    </xdr:to>
    <xdr:pic>
      <xdr:nvPicPr>
        <xdr:cNvPr id="2070" name="Imagen 2">
          <a:extLst>
            <a:ext uri="{FF2B5EF4-FFF2-40B4-BE49-F238E27FC236}">
              <a16:creationId xmlns:a16="http://schemas.microsoft.com/office/drawing/2014/main" id="{00000000-0008-0000-01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33525" y="32375475"/>
          <a:ext cx="78486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</xdr:row>
          <xdr:rowOff>123825</xdr:rowOff>
        </xdr:from>
        <xdr:to>
          <xdr:col>2</xdr:col>
          <xdr:colOff>190500</xdr:colOff>
          <xdr:row>3</xdr:row>
          <xdr:rowOff>161925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75</xdr:row>
          <xdr:rowOff>133350</xdr:rowOff>
        </xdr:from>
        <xdr:to>
          <xdr:col>1</xdr:col>
          <xdr:colOff>581025</xdr:colOff>
          <xdr:row>77</xdr:row>
          <xdr:rowOff>85725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75</xdr:row>
          <xdr:rowOff>38100</xdr:rowOff>
        </xdr:from>
        <xdr:to>
          <xdr:col>2</xdr:col>
          <xdr:colOff>180975</xdr:colOff>
          <xdr:row>77</xdr:row>
          <xdr:rowOff>85725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138</xdr:row>
          <xdr:rowOff>76200</xdr:rowOff>
        </xdr:from>
        <xdr:to>
          <xdr:col>2</xdr:col>
          <xdr:colOff>314325</xdr:colOff>
          <xdr:row>140</xdr:row>
          <xdr:rowOff>123825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180976</xdr:colOff>
      <xdr:row>41</xdr:row>
      <xdr:rowOff>47625</xdr:rowOff>
    </xdr:from>
    <xdr:to>
      <xdr:col>12</xdr:col>
      <xdr:colOff>500675</xdr:colOff>
      <xdr:row>70</xdr:row>
      <xdr:rowOff>133350</xdr:rowOff>
    </xdr:to>
    <xdr:pic>
      <xdr:nvPicPr>
        <xdr:cNvPr id="4" name="Imat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4401" y="10582275"/>
          <a:ext cx="8444524" cy="5610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35</xdr:row>
      <xdr:rowOff>47625</xdr:rowOff>
    </xdr:from>
    <xdr:to>
      <xdr:col>9</xdr:col>
      <xdr:colOff>742950</xdr:colOff>
      <xdr:row>50</xdr:row>
      <xdr:rowOff>95250</xdr:rowOff>
    </xdr:to>
    <xdr:grpSp>
      <xdr:nvGrpSpPr>
        <xdr:cNvPr id="3074" name="Group 2"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GrpSpPr>
          <a:grpSpLocks/>
        </xdr:cNvGrpSpPr>
      </xdr:nvGrpSpPr>
      <xdr:grpSpPr bwMode="auto">
        <a:xfrm>
          <a:off x="1743075" y="7381875"/>
          <a:ext cx="8601075" cy="3190875"/>
          <a:chOff x="58" y="715"/>
          <a:chExt cx="825" cy="305"/>
        </a:xfrm>
      </xdr:grpSpPr>
      <xdr:sp macro="" textlink="">
        <xdr:nvSpPr>
          <xdr:cNvPr id="3075" name="Rectangle 3">
            <a:extLst>
              <a:ext uri="{FF2B5EF4-FFF2-40B4-BE49-F238E27FC236}">
                <a16:creationId xmlns:a16="http://schemas.microsoft.com/office/drawing/2014/main" id="{00000000-0008-0000-0200-0000030C0000}"/>
              </a:ext>
            </a:extLst>
          </xdr:cNvPr>
          <xdr:cNvSpPr>
            <a:spLocks noChangeArrowheads="1"/>
          </xdr:cNvSpPr>
        </xdr:nvSpPr>
        <xdr:spPr bwMode="auto">
          <a:xfrm>
            <a:off x="414" y="849"/>
            <a:ext cx="42" cy="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076" name="Rectangle 4">
            <a:extLst>
              <a:ext uri="{FF2B5EF4-FFF2-40B4-BE49-F238E27FC236}">
                <a16:creationId xmlns:a16="http://schemas.microsoft.com/office/drawing/2014/main" id="{00000000-0008-0000-0200-0000040C0000}"/>
              </a:ext>
            </a:extLst>
          </xdr:cNvPr>
          <xdr:cNvSpPr>
            <a:spLocks noChangeArrowheads="1"/>
          </xdr:cNvSpPr>
        </xdr:nvSpPr>
        <xdr:spPr bwMode="auto">
          <a:xfrm>
            <a:off x="488" y="849"/>
            <a:ext cx="39" cy="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077" name="Line 5">
            <a:extLst>
              <a:ext uri="{FF2B5EF4-FFF2-40B4-BE49-F238E27FC236}">
                <a16:creationId xmlns:a16="http://schemas.microsoft.com/office/drawing/2014/main" id="{00000000-0008-0000-0200-0000050C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05" y="774"/>
            <a:ext cx="75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078" name="Rectangle 6">
            <a:extLst>
              <a:ext uri="{FF2B5EF4-FFF2-40B4-BE49-F238E27FC236}">
                <a16:creationId xmlns:a16="http://schemas.microsoft.com/office/drawing/2014/main" id="{00000000-0008-0000-0200-0000060C0000}"/>
              </a:ext>
            </a:extLst>
          </xdr:cNvPr>
          <xdr:cNvSpPr>
            <a:spLocks noChangeArrowheads="1"/>
          </xdr:cNvSpPr>
        </xdr:nvSpPr>
        <xdr:spPr bwMode="auto">
          <a:xfrm>
            <a:off x="161" y="751"/>
            <a:ext cx="86" cy="4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079" name="Rectangle 7">
            <a:extLst>
              <a:ext uri="{FF2B5EF4-FFF2-40B4-BE49-F238E27FC236}">
                <a16:creationId xmlns:a16="http://schemas.microsoft.com/office/drawing/2014/main" id="{00000000-0008-0000-0200-0000070C0000}"/>
              </a:ext>
            </a:extLst>
          </xdr:cNvPr>
          <xdr:cNvSpPr>
            <a:spLocks noChangeArrowheads="1"/>
          </xdr:cNvSpPr>
        </xdr:nvSpPr>
        <xdr:spPr bwMode="auto">
          <a:xfrm>
            <a:off x="291" y="747"/>
            <a:ext cx="86" cy="4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080" name="Rectangle 8">
            <a:extLst>
              <a:ext uri="{FF2B5EF4-FFF2-40B4-BE49-F238E27FC236}">
                <a16:creationId xmlns:a16="http://schemas.microsoft.com/office/drawing/2014/main" id="{00000000-0008-0000-0200-0000080C0000}"/>
              </a:ext>
            </a:extLst>
          </xdr:cNvPr>
          <xdr:cNvSpPr>
            <a:spLocks noChangeArrowheads="1"/>
          </xdr:cNvSpPr>
        </xdr:nvSpPr>
        <xdr:spPr bwMode="auto">
          <a:xfrm>
            <a:off x="584" y="751"/>
            <a:ext cx="98" cy="4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081" name="Rectangle 9">
            <a:extLst>
              <a:ext uri="{FF2B5EF4-FFF2-40B4-BE49-F238E27FC236}">
                <a16:creationId xmlns:a16="http://schemas.microsoft.com/office/drawing/2014/main" id="{00000000-0008-0000-0200-0000090C0000}"/>
              </a:ext>
            </a:extLst>
          </xdr:cNvPr>
          <xdr:cNvSpPr>
            <a:spLocks noChangeArrowheads="1"/>
          </xdr:cNvSpPr>
        </xdr:nvSpPr>
        <xdr:spPr bwMode="auto">
          <a:xfrm>
            <a:off x="720" y="751"/>
            <a:ext cx="102" cy="4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082" name="Line 10">
            <a:extLst>
              <a:ext uri="{FF2B5EF4-FFF2-40B4-BE49-F238E27FC236}">
                <a16:creationId xmlns:a16="http://schemas.microsoft.com/office/drawing/2014/main" id="{00000000-0008-0000-0200-00000A0C0000}"/>
              </a:ext>
            </a:extLst>
          </xdr:cNvPr>
          <xdr:cNvSpPr>
            <a:spLocks noChangeShapeType="1"/>
          </xdr:cNvSpPr>
        </xdr:nvSpPr>
        <xdr:spPr bwMode="auto">
          <a:xfrm>
            <a:off x="504" y="777"/>
            <a:ext cx="0" cy="7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083" name="Line 11">
            <a:extLst>
              <a:ext uri="{FF2B5EF4-FFF2-40B4-BE49-F238E27FC236}">
                <a16:creationId xmlns:a16="http://schemas.microsoft.com/office/drawing/2014/main" id="{00000000-0008-0000-0200-00000B0C0000}"/>
              </a:ext>
            </a:extLst>
          </xdr:cNvPr>
          <xdr:cNvSpPr>
            <a:spLocks noChangeShapeType="1"/>
          </xdr:cNvSpPr>
        </xdr:nvSpPr>
        <xdr:spPr bwMode="auto">
          <a:xfrm>
            <a:off x="435" y="776"/>
            <a:ext cx="0" cy="7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084" name="Line 12">
            <a:extLst>
              <a:ext uri="{FF2B5EF4-FFF2-40B4-BE49-F238E27FC236}">
                <a16:creationId xmlns:a16="http://schemas.microsoft.com/office/drawing/2014/main" id="{00000000-0008-0000-0200-00000C0C0000}"/>
              </a:ext>
            </a:extLst>
          </xdr:cNvPr>
          <xdr:cNvSpPr>
            <a:spLocks noChangeShapeType="1"/>
          </xdr:cNvSpPr>
        </xdr:nvSpPr>
        <xdr:spPr bwMode="auto">
          <a:xfrm>
            <a:off x="856" y="772"/>
            <a:ext cx="0" cy="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085" name="Rectangle 13">
            <a:extLst>
              <a:ext uri="{FF2B5EF4-FFF2-40B4-BE49-F238E27FC236}">
                <a16:creationId xmlns:a16="http://schemas.microsoft.com/office/drawing/2014/main" id="{00000000-0008-0000-0200-00000D0C0000}"/>
              </a:ext>
            </a:extLst>
          </xdr:cNvPr>
          <xdr:cNvSpPr>
            <a:spLocks noChangeArrowheads="1"/>
          </xdr:cNvSpPr>
        </xdr:nvSpPr>
        <xdr:spPr bwMode="auto">
          <a:xfrm>
            <a:off x="837" y="828"/>
            <a:ext cx="46" cy="1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086" name="Line 14">
            <a:extLst>
              <a:ext uri="{FF2B5EF4-FFF2-40B4-BE49-F238E27FC236}">
                <a16:creationId xmlns:a16="http://schemas.microsoft.com/office/drawing/2014/main" id="{00000000-0008-0000-0200-00000E0C0000}"/>
              </a:ext>
            </a:extLst>
          </xdr:cNvPr>
          <xdr:cNvSpPr>
            <a:spLocks noChangeShapeType="1"/>
          </xdr:cNvSpPr>
        </xdr:nvSpPr>
        <xdr:spPr bwMode="auto">
          <a:xfrm>
            <a:off x="841" y="837"/>
            <a:ext cx="36" cy="10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087" name="Line 15">
            <a:extLst>
              <a:ext uri="{FF2B5EF4-FFF2-40B4-BE49-F238E27FC236}">
                <a16:creationId xmlns:a16="http://schemas.microsoft.com/office/drawing/2014/main" id="{00000000-0008-0000-0200-00000F0C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45" y="842"/>
            <a:ext cx="30" cy="10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088" name="Line 16">
            <a:extLst>
              <a:ext uri="{FF2B5EF4-FFF2-40B4-BE49-F238E27FC236}">
                <a16:creationId xmlns:a16="http://schemas.microsoft.com/office/drawing/2014/main" id="{00000000-0008-0000-0200-0000100C0000}"/>
              </a:ext>
            </a:extLst>
          </xdr:cNvPr>
          <xdr:cNvSpPr>
            <a:spLocks noChangeShapeType="1"/>
          </xdr:cNvSpPr>
        </xdr:nvSpPr>
        <xdr:spPr bwMode="auto">
          <a:xfrm>
            <a:off x="864" y="953"/>
            <a:ext cx="0" cy="6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089" name="Line 17">
            <a:extLst>
              <a:ext uri="{FF2B5EF4-FFF2-40B4-BE49-F238E27FC236}">
                <a16:creationId xmlns:a16="http://schemas.microsoft.com/office/drawing/2014/main" id="{00000000-0008-0000-0200-0000110C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9" y="1020"/>
            <a:ext cx="75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090" name="Line 18">
            <a:extLst>
              <a:ext uri="{FF2B5EF4-FFF2-40B4-BE49-F238E27FC236}">
                <a16:creationId xmlns:a16="http://schemas.microsoft.com/office/drawing/2014/main" id="{00000000-0008-0000-0200-0000120C0000}"/>
              </a:ext>
            </a:extLst>
          </xdr:cNvPr>
          <xdr:cNvSpPr>
            <a:spLocks noChangeShapeType="1"/>
          </xdr:cNvSpPr>
        </xdr:nvSpPr>
        <xdr:spPr bwMode="auto">
          <a:xfrm>
            <a:off x="435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091" name="Line 19">
            <a:extLst>
              <a:ext uri="{FF2B5EF4-FFF2-40B4-BE49-F238E27FC236}">
                <a16:creationId xmlns:a16="http://schemas.microsoft.com/office/drawing/2014/main" id="{00000000-0008-0000-0200-0000130C0000}"/>
              </a:ext>
            </a:extLst>
          </xdr:cNvPr>
          <xdr:cNvSpPr>
            <a:spLocks noChangeShapeType="1"/>
          </xdr:cNvSpPr>
        </xdr:nvSpPr>
        <xdr:spPr bwMode="auto">
          <a:xfrm>
            <a:off x="504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" name="Text Box 20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5" y="720"/>
            <a:ext cx="66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Rs</a:t>
            </a:r>
            <a:endParaRPr lang="es-ES"/>
          </a:p>
        </xdr:txBody>
      </xdr:sp>
      <xdr:sp macro="" textlink="">
        <xdr:nvSpPr>
          <xdr:cNvPr id="21" name="Text Box 2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4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Rr</a:t>
            </a:r>
            <a:endParaRPr lang="es-ES"/>
          </a:p>
        </xdr:txBody>
      </xdr:sp>
      <xdr:sp macro="" textlink="">
        <xdr:nvSpPr>
          <xdr:cNvPr id="22" name="Text Box 22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715"/>
            <a:ext cx="61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Ls</a:t>
            </a:r>
            <a:endParaRPr lang="es-ES"/>
          </a:p>
        </xdr:txBody>
      </xdr:sp>
      <xdr:sp macro="" textlink="">
        <xdr:nvSpPr>
          <xdr:cNvPr id="23" name="Text Box 23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9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Lr</a:t>
            </a:r>
            <a:endParaRPr lang="es-ES"/>
          </a:p>
        </xdr:txBody>
      </xdr:sp>
      <xdr:sp macro="" textlink="">
        <xdr:nvSpPr>
          <xdr:cNvPr id="24" name="Text Box 24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8" y="875"/>
            <a:ext cx="62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Lm</a:t>
            </a:r>
            <a:endParaRPr lang="es-ES"/>
          </a:p>
        </xdr:txBody>
      </xdr:sp>
      <xdr:sp macro="" textlink="">
        <xdr:nvSpPr>
          <xdr:cNvPr id="25" name="Text Box 25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7" y="869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RFe</a:t>
            </a:r>
            <a:endParaRPr lang="es-ES"/>
          </a:p>
        </xdr:txBody>
      </xdr:sp>
      <xdr:sp macro="" textlink="">
        <xdr:nvSpPr>
          <xdr:cNvPr id="3098" name="Line 26">
            <a:extLst>
              <a:ext uri="{FF2B5EF4-FFF2-40B4-BE49-F238E27FC236}">
                <a16:creationId xmlns:a16="http://schemas.microsoft.com/office/drawing/2014/main" id="{00000000-0008-0000-0200-00001A0C0000}"/>
              </a:ext>
            </a:extLst>
          </xdr:cNvPr>
          <xdr:cNvSpPr>
            <a:spLocks noChangeShapeType="1"/>
          </xdr:cNvSpPr>
        </xdr:nvSpPr>
        <xdr:spPr bwMode="auto">
          <a:xfrm>
            <a:off x="584" y="860"/>
            <a:ext cx="0" cy="9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27" name="Text Box 27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6" y="874"/>
            <a:ext cx="63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Im</a:t>
            </a:r>
            <a:endParaRPr lang="es-ES"/>
          </a:p>
        </xdr:txBody>
      </xdr:sp>
      <xdr:sp macro="" textlink="">
        <xdr:nvSpPr>
          <xdr:cNvPr id="3100" name="Line 28">
            <a:extLst>
              <a:ext uri="{FF2B5EF4-FFF2-40B4-BE49-F238E27FC236}">
                <a16:creationId xmlns:a16="http://schemas.microsoft.com/office/drawing/2014/main" id="{00000000-0008-0000-0200-00001C0C0000}"/>
              </a:ext>
            </a:extLst>
          </xdr:cNvPr>
          <xdr:cNvSpPr>
            <a:spLocks noChangeShapeType="1"/>
          </xdr:cNvSpPr>
        </xdr:nvSpPr>
        <xdr:spPr bwMode="auto">
          <a:xfrm>
            <a:off x="142" y="816"/>
            <a:ext cx="12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29" name="Text Box 29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0" y="823"/>
            <a:ext cx="57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Is</a:t>
            </a:r>
            <a:endParaRPr lang="es-ES"/>
          </a:p>
        </xdr:txBody>
      </xdr:sp>
      <xdr:sp macro="" textlink="">
        <xdr:nvSpPr>
          <xdr:cNvPr id="3102" name="Line 30">
            <a:extLst>
              <a:ext uri="{FF2B5EF4-FFF2-40B4-BE49-F238E27FC236}">
                <a16:creationId xmlns:a16="http://schemas.microsoft.com/office/drawing/2014/main" id="{00000000-0008-0000-0200-00001E0C0000}"/>
              </a:ext>
            </a:extLst>
          </xdr:cNvPr>
          <xdr:cNvSpPr>
            <a:spLocks noChangeShapeType="1"/>
          </xdr:cNvSpPr>
        </xdr:nvSpPr>
        <xdr:spPr bwMode="auto">
          <a:xfrm>
            <a:off x="99" y="788"/>
            <a:ext cx="0" cy="21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31" name="Text Box 31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" y="872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2004" rIns="0" bIns="0" anchor="t" upright="1"/>
          <a:lstStyle/>
          <a:p>
            <a:pPr algn="l" rtl="0">
              <a:defRPr sz="1000"/>
            </a:pPr>
            <a:r>
              <a:rPr lang="es-ES" sz="1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Vs</a:t>
            </a:r>
            <a:endParaRPr lang="es-ES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</xdr:row>
          <xdr:rowOff>142875</xdr:rowOff>
        </xdr:from>
        <xdr:to>
          <xdr:col>1</xdr:col>
          <xdr:colOff>723900</xdr:colOff>
          <xdr:row>4</xdr:row>
          <xdr:rowOff>76200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111</xdr:row>
      <xdr:rowOff>276225</xdr:rowOff>
    </xdr:from>
    <xdr:to>
      <xdr:col>14</xdr:col>
      <xdr:colOff>9525</xdr:colOff>
      <xdr:row>135</xdr:row>
      <xdr:rowOff>0</xdr:rowOff>
    </xdr:to>
    <xdr:graphicFrame macro="">
      <xdr:nvGraphicFramePr>
        <xdr:cNvPr id="4116" name="Gráfico 2">
          <a:extLst>
            <a:ext uri="{FF2B5EF4-FFF2-40B4-BE49-F238E27FC236}">
              <a16:creationId xmlns:a16="http://schemas.microsoft.com/office/drawing/2014/main" id="{00000000-0008-0000-0300-000014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87</xdr:row>
      <xdr:rowOff>238125</xdr:rowOff>
    </xdr:from>
    <xdr:to>
      <xdr:col>14</xdr:col>
      <xdr:colOff>0</xdr:colOff>
      <xdr:row>111</xdr:row>
      <xdr:rowOff>9525</xdr:rowOff>
    </xdr:to>
    <xdr:graphicFrame macro="">
      <xdr:nvGraphicFramePr>
        <xdr:cNvPr id="4117" name="Gráfico 3">
          <a:extLst>
            <a:ext uri="{FF2B5EF4-FFF2-40B4-BE49-F238E27FC236}">
              <a16:creationId xmlns:a16="http://schemas.microsoft.com/office/drawing/2014/main" id="{00000000-0008-0000-0300-000015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66675</xdr:colOff>
      <xdr:row>143</xdr:row>
      <xdr:rowOff>28575</xdr:rowOff>
    </xdr:from>
    <xdr:to>
      <xdr:col>12</xdr:col>
      <xdr:colOff>603250</xdr:colOff>
      <xdr:row>143</xdr:row>
      <xdr:rowOff>885825</xdr:rowOff>
    </xdr:to>
    <xdr:pic>
      <xdr:nvPicPr>
        <xdr:cNvPr id="4118" name="Imagen 2">
          <a:extLst>
            <a:ext uri="{FF2B5EF4-FFF2-40B4-BE49-F238E27FC236}">
              <a16:creationId xmlns:a16="http://schemas.microsoft.com/office/drawing/2014/main" id="{00000000-0008-0000-0300-00001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33525" y="32375475"/>
          <a:ext cx="793432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</xdr:row>
          <xdr:rowOff>123825</xdr:rowOff>
        </xdr:from>
        <xdr:to>
          <xdr:col>2</xdr:col>
          <xdr:colOff>190500</xdr:colOff>
          <xdr:row>3</xdr:row>
          <xdr:rowOff>161925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75</xdr:row>
          <xdr:rowOff>133350</xdr:rowOff>
        </xdr:from>
        <xdr:to>
          <xdr:col>1</xdr:col>
          <xdr:colOff>581025</xdr:colOff>
          <xdr:row>77</xdr:row>
          <xdr:rowOff>85725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75</xdr:row>
          <xdr:rowOff>38100</xdr:rowOff>
        </xdr:from>
        <xdr:to>
          <xdr:col>2</xdr:col>
          <xdr:colOff>180975</xdr:colOff>
          <xdr:row>77</xdr:row>
          <xdr:rowOff>85725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138</xdr:row>
          <xdr:rowOff>76200</xdr:rowOff>
        </xdr:from>
        <xdr:to>
          <xdr:col>2</xdr:col>
          <xdr:colOff>304800</xdr:colOff>
          <xdr:row>140</xdr:row>
          <xdr:rowOff>114300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190500</xdr:colOff>
      <xdr:row>41</xdr:row>
      <xdr:rowOff>57150</xdr:rowOff>
    </xdr:from>
    <xdr:to>
      <xdr:col>12</xdr:col>
      <xdr:colOff>510199</xdr:colOff>
      <xdr:row>70</xdr:row>
      <xdr:rowOff>142875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3925" y="10601325"/>
          <a:ext cx="8444524" cy="5610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847725</xdr:colOff>
      <xdr:row>36</xdr:row>
      <xdr:rowOff>38100</xdr:rowOff>
    </xdr:from>
    <xdr:to>
      <xdr:col>9</xdr:col>
      <xdr:colOff>914400</xdr:colOff>
      <xdr:row>51</xdr:row>
      <xdr:rowOff>104775</xdr:rowOff>
    </xdr:to>
    <xdr:grpSp>
      <xdr:nvGrpSpPr>
        <xdr:cNvPr id="5122" name="Group 2">
          <a:extLst>
            <a:ext uri="{FF2B5EF4-FFF2-40B4-BE49-F238E27FC236}">
              <a16:creationId xmlns:a16="http://schemas.microsoft.com/office/drawing/2014/main" id="{00000000-0008-0000-0400-000002140000}"/>
            </a:ext>
          </a:extLst>
        </xdr:cNvPr>
        <xdr:cNvGrpSpPr>
          <a:grpSpLocks/>
        </xdr:cNvGrpSpPr>
      </xdr:nvGrpSpPr>
      <xdr:grpSpPr bwMode="auto">
        <a:xfrm>
          <a:off x="1914525" y="7581900"/>
          <a:ext cx="8601075" cy="3190875"/>
          <a:chOff x="58" y="715"/>
          <a:chExt cx="825" cy="305"/>
        </a:xfrm>
      </xdr:grpSpPr>
      <xdr:sp macro="" textlink="">
        <xdr:nvSpPr>
          <xdr:cNvPr id="5123" name="Rectangle 3">
            <a:extLst>
              <a:ext uri="{FF2B5EF4-FFF2-40B4-BE49-F238E27FC236}">
                <a16:creationId xmlns:a16="http://schemas.microsoft.com/office/drawing/2014/main" id="{00000000-0008-0000-0400-000003140000}"/>
              </a:ext>
            </a:extLst>
          </xdr:cNvPr>
          <xdr:cNvSpPr>
            <a:spLocks noChangeArrowheads="1"/>
          </xdr:cNvSpPr>
        </xdr:nvSpPr>
        <xdr:spPr bwMode="auto">
          <a:xfrm>
            <a:off x="414" y="849"/>
            <a:ext cx="42" cy="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124" name="Rectangle 4">
            <a:extLst>
              <a:ext uri="{FF2B5EF4-FFF2-40B4-BE49-F238E27FC236}">
                <a16:creationId xmlns:a16="http://schemas.microsoft.com/office/drawing/2014/main" id="{00000000-0008-0000-0400-000004140000}"/>
              </a:ext>
            </a:extLst>
          </xdr:cNvPr>
          <xdr:cNvSpPr>
            <a:spLocks noChangeArrowheads="1"/>
          </xdr:cNvSpPr>
        </xdr:nvSpPr>
        <xdr:spPr bwMode="auto">
          <a:xfrm>
            <a:off x="488" y="849"/>
            <a:ext cx="39" cy="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125" name="Line 5">
            <a:extLst>
              <a:ext uri="{FF2B5EF4-FFF2-40B4-BE49-F238E27FC236}">
                <a16:creationId xmlns:a16="http://schemas.microsoft.com/office/drawing/2014/main" id="{00000000-0008-0000-0400-0000051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05" y="774"/>
            <a:ext cx="75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26" name="Rectangle 6">
            <a:extLst>
              <a:ext uri="{FF2B5EF4-FFF2-40B4-BE49-F238E27FC236}">
                <a16:creationId xmlns:a16="http://schemas.microsoft.com/office/drawing/2014/main" id="{00000000-0008-0000-0400-000006140000}"/>
              </a:ext>
            </a:extLst>
          </xdr:cNvPr>
          <xdr:cNvSpPr>
            <a:spLocks noChangeArrowheads="1"/>
          </xdr:cNvSpPr>
        </xdr:nvSpPr>
        <xdr:spPr bwMode="auto">
          <a:xfrm>
            <a:off x="161" y="751"/>
            <a:ext cx="86" cy="4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127" name="Rectangle 7">
            <a:extLst>
              <a:ext uri="{FF2B5EF4-FFF2-40B4-BE49-F238E27FC236}">
                <a16:creationId xmlns:a16="http://schemas.microsoft.com/office/drawing/2014/main" id="{00000000-0008-0000-0400-000007140000}"/>
              </a:ext>
            </a:extLst>
          </xdr:cNvPr>
          <xdr:cNvSpPr>
            <a:spLocks noChangeArrowheads="1"/>
          </xdr:cNvSpPr>
        </xdr:nvSpPr>
        <xdr:spPr bwMode="auto">
          <a:xfrm>
            <a:off x="291" y="747"/>
            <a:ext cx="86" cy="4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128" name="Rectangle 8">
            <a:extLst>
              <a:ext uri="{FF2B5EF4-FFF2-40B4-BE49-F238E27FC236}">
                <a16:creationId xmlns:a16="http://schemas.microsoft.com/office/drawing/2014/main" id="{00000000-0008-0000-0400-000008140000}"/>
              </a:ext>
            </a:extLst>
          </xdr:cNvPr>
          <xdr:cNvSpPr>
            <a:spLocks noChangeArrowheads="1"/>
          </xdr:cNvSpPr>
        </xdr:nvSpPr>
        <xdr:spPr bwMode="auto">
          <a:xfrm>
            <a:off x="584" y="751"/>
            <a:ext cx="98" cy="4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129" name="Rectangle 9">
            <a:extLst>
              <a:ext uri="{FF2B5EF4-FFF2-40B4-BE49-F238E27FC236}">
                <a16:creationId xmlns:a16="http://schemas.microsoft.com/office/drawing/2014/main" id="{00000000-0008-0000-0400-000009140000}"/>
              </a:ext>
            </a:extLst>
          </xdr:cNvPr>
          <xdr:cNvSpPr>
            <a:spLocks noChangeArrowheads="1"/>
          </xdr:cNvSpPr>
        </xdr:nvSpPr>
        <xdr:spPr bwMode="auto">
          <a:xfrm>
            <a:off x="720" y="751"/>
            <a:ext cx="102" cy="4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130" name="Line 10">
            <a:extLst>
              <a:ext uri="{FF2B5EF4-FFF2-40B4-BE49-F238E27FC236}">
                <a16:creationId xmlns:a16="http://schemas.microsoft.com/office/drawing/2014/main" id="{00000000-0008-0000-0400-00000A140000}"/>
              </a:ext>
            </a:extLst>
          </xdr:cNvPr>
          <xdr:cNvSpPr>
            <a:spLocks noChangeShapeType="1"/>
          </xdr:cNvSpPr>
        </xdr:nvSpPr>
        <xdr:spPr bwMode="auto">
          <a:xfrm>
            <a:off x="504" y="777"/>
            <a:ext cx="0" cy="7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31" name="Line 11">
            <a:extLst>
              <a:ext uri="{FF2B5EF4-FFF2-40B4-BE49-F238E27FC236}">
                <a16:creationId xmlns:a16="http://schemas.microsoft.com/office/drawing/2014/main" id="{00000000-0008-0000-0400-00000B140000}"/>
              </a:ext>
            </a:extLst>
          </xdr:cNvPr>
          <xdr:cNvSpPr>
            <a:spLocks noChangeShapeType="1"/>
          </xdr:cNvSpPr>
        </xdr:nvSpPr>
        <xdr:spPr bwMode="auto">
          <a:xfrm>
            <a:off x="435" y="776"/>
            <a:ext cx="0" cy="7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32" name="Line 12">
            <a:extLst>
              <a:ext uri="{FF2B5EF4-FFF2-40B4-BE49-F238E27FC236}">
                <a16:creationId xmlns:a16="http://schemas.microsoft.com/office/drawing/2014/main" id="{00000000-0008-0000-0400-00000C140000}"/>
              </a:ext>
            </a:extLst>
          </xdr:cNvPr>
          <xdr:cNvSpPr>
            <a:spLocks noChangeShapeType="1"/>
          </xdr:cNvSpPr>
        </xdr:nvSpPr>
        <xdr:spPr bwMode="auto">
          <a:xfrm>
            <a:off x="856" y="772"/>
            <a:ext cx="0" cy="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33" name="Rectangle 13">
            <a:extLst>
              <a:ext uri="{FF2B5EF4-FFF2-40B4-BE49-F238E27FC236}">
                <a16:creationId xmlns:a16="http://schemas.microsoft.com/office/drawing/2014/main" id="{00000000-0008-0000-0400-00000D140000}"/>
              </a:ext>
            </a:extLst>
          </xdr:cNvPr>
          <xdr:cNvSpPr>
            <a:spLocks noChangeArrowheads="1"/>
          </xdr:cNvSpPr>
        </xdr:nvSpPr>
        <xdr:spPr bwMode="auto">
          <a:xfrm>
            <a:off x="837" y="828"/>
            <a:ext cx="46" cy="1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134" name="Line 14">
            <a:extLst>
              <a:ext uri="{FF2B5EF4-FFF2-40B4-BE49-F238E27FC236}">
                <a16:creationId xmlns:a16="http://schemas.microsoft.com/office/drawing/2014/main" id="{00000000-0008-0000-0400-00000E140000}"/>
              </a:ext>
            </a:extLst>
          </xdr:cNvPr>
          <xdr:cNvSpPr>
            <a:spLocks noChangeShapeType="1"/>
          </xdr:cNvSpPr>
        </xdr:nvSpPr>
        <xdr:spPr bwMode="auto">
          <a:xfrm>
            <a:off x="841" y="837"/>
            <a:ext cx="36" cy="10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35" name="Line 15">
            <a:extLst>
              <a:ext uri="{FF2B5EF4-FFF2-40B4-BE49-F238E27FC236}">
                <a16:creationId xmlns:a16="http://schemas.microsoft.com/office/drawing/2014/main" id="{00000000-0008-0000-0400-00000F1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45" y="842"/>
            <a:ext cx="30" cy="10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36" name="Line 16">
            <a:extLst>
              <a:ext uri="{FF2B5EF4-FFF2-40B4-BE49-F238E27FC236}">
                <a16:creationId xmlns:a16="http://schemas.microsoft.com/office/drawing/2014/main" id="{00000000-0008-0000-0400-000010140000}"/>
              </a:ext>
            </a:extLst>
          </xdr:cNvPr>
          <xdr:cNvSpPr>
            <a:spLocks noChangeShapeType="1"/>
          </xdr:cNvSpPr>
        </xdr:nvSpPr>
        <xdr:spPr bwMode="auto">
          <a:xfrm>
            <a:off x="864" y="953"/>
            <a:ext cx="0" cy="6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37" name="Line 17">
            <a:extLst>
              <a:ext uri="{FF2B5EF4-FFF2-40B4-BE49-F238E27FC236}">
                <a16:creationId xmlns:a16="http://schemas.microsoft.com/office/drawing/2014/main" id="{00000000-0008-0000-0400-0000111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9" y="1020"/>
            <a:ext cx="75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38" name="Line 18">
            <a:extLst>
              <a:ext uri="{FF2B5EF4-FFF2-40B4-BE49-F238E27FC236}">
                <a16:creationId xmlns:a16="http://schemas.microsoft.com/office/drawing/2014/main" id="{00000000-0008-0000-0400-000012140000}"/>
              </a:ext>
            </a:extLst>
          </xdr:cNvPr>
          <xdr:cNvSpPr>
            <a:spLocks noChangeShapeType="1"/>
          </xdr:cNvSpPr>
        </xdr:nvSpPr>
        <xdr:spPr bwMode="auto">
          <a:xfrm>
            <a:off x="435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39" name="Line 19">
            <a:extLst>
              <a:ext uri="{FF2B5EF4-FFF2-40B4-BE49-F238E27FC236}">
                <a16:creationId xmlns:a16="http://schemas.microsoft.com/office/drawing/2014/main" id="{00000000-0008-0000-0400-000013140000}"/>
              </a:ext>
            </a:extLst>
          </xdr:cNvPr>
          <xdr:cNvSpPr>
            <a:spLocks noChangeShapeType="1"/>
          </xdr:cNvSpPr>
        </xdr:nvSpPr>
        <xdr:spPr bwMode="auto">
          <a:xfrm>
            <a:off x="504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" name="Text Box 20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5" y="720"/>
            <a:ext cx="66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Rs</a:t>
            </a:r>
            <a:endParaRPr lang="es-ES"/>
          </a:p>
        </xdr:txBody>
      </xdr:sp>
      <xdr:sp macro="" textlink="">
        <xdr:nvSpPr>
          <xdr:cNvPr id="21" name="Text Box 21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4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Rr</a:t>
            </a:r>
            <a:endParaRPr lang="es-ES"/>
          </a:p>
        </xdr:txBody>
      </xdr:sp>
      <xdr:sp macro="" textlink="">
        <xdr:nvSpPr>
          <xdr:cNvPr id="22" name="Text Box 22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715"/>
            <a:ext cx="62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Ls</a:t>
            </a:r>
            <a:endParaRPr lang="es-ES"/>
          </a:p>
        </xdr:txBody>
      </xdr:sp>
      <xdr:sp macro="" textlink="">
        <xdr:nvSpPr>
          <xdr:cNvPr id="23" name="Text Box 23">
            <a:extLst>
              <a:ext uri="{FF2B5EF4-FFF2-40B4-BE49-F238E27FC236}">
                <a16:creationId xmlns:a16="http://schemas.microsoft.com/office/drawing/2014/main" id="{00000000-0008-0000-04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9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Lr</a:t>
            </a:r>
            <a:endParaRPr lang="es-ES"/>
          </a:p>
        </xdr:txBody>
      </xdr:sp>
      <xdr:sp macro="" textlink="">
        <xdr:nvSpPr>
          <xdr:cNvPr id="24" name="Text Box 24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8" y="875"/>
            <a:ext cx="62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Lm</a:t>
            </a:r>
            <a:endParaRPr lang="es-ES"/>
          </a:p>
        </xdr:txBody>
      </xdr:sp>
      <xdr:sp macro="" textlink="">
        <xdr:nvSpPr>
          <xdr:cNvPr id="25" name="Text Box 25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7" y="869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RFe</a:t>
            </a:r>
            <a:endParaRPr lang="es-ES"/>
          </a:p>
        </xdr:txBody>
      </xdr:sp>
      <xdr:sp macro="" textlink="">
        <xdr:nvSpPr>
          <xdr:cNvPr id="5146" name="Line 26">
            <a:extLst>
              <a:ext uri="{FF2B5EF4-FFF2-40B4-BE49-F238E27FC236}">
                <a16:creationId xmlns:a16="http://schemas.microsoft.com/office/drawing/2014/main" id="{00000000-0008-0000-0400-00001A140000}"/>
              </a:ext>
            </a:extLst>
          </xdr:cNvPr>
          <xdr:cNvSpPr>
            <a:spLocks noChangeShapeType="1"/>
          </xdr:cNvSpPr>
        </xdr:nvSpPr>
        <xdr:spPr bwMode="auto">
          <a:xfrm>
            <a:off x="584" y="860"/>
            <a:ext cx="0" cy="9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27" name="Text Box 27">
            <a:extLst>
              <a:ext uri="{FF2B5EF4-FFF2-40B4-BE49-F238E27FC236}">
                <a16:creationId xmlns:a16="http://schemas.microsoft.com/office/drawing/2014/main" id="{00000000-0008-0000-04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6" y="874"/>
            <a:ext cx="63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Im</a:t>
            </a:r>
            <a:endParaRPr lang="es-ES"/>
          </a:p>
        </xdr:txBody>
      </xdr:sp>
      <xdr:sp macro="" textlink="">
        <xdr:nvSpPr>
          <xdr:cNvPr id="5148" name="Line 28">
            <a:extLst>
              <a:ext uri="{FF2B5EF4-FFF2-40B4-BE49-F238E27FC236}">
                <a16:creationId xmlns:a16="http://schemas.microsoft.com/office/drawing/2014/main" id="{00000000-0008-0000-0400-00001C140000}"/>
              </a:ext>
            </a:extLst>
          </xdr:cNvPr>
          <xdr:cNvSpPr>
            <a:spLocks noChangeShapeType="1"/>
          </xdr:cNvSpPr>
        </xdr:nvSpPr>
        <xdr:spPr bwMode="auto">
          <a:xfrm>
            <a:off x="142" y="816"/>
            <a:ext cx="12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29" name="Text Box 29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0" y="823"/>
            <a:ext cx="57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Is</a:t>
            </a:r>
            <a:endParaRPr lang="es-ES"/>
          </a:p>
        </xdr:txBody>
      </xdr:sp>
      <xdr:sp macro="" textlink="">
        <xdr:nvSpPr>
          <xdr:cNvPr id="5150" name="Line 30">
            <a:extLst>
              <a:ext uri="{FF2B5EF4-FFF2-40B4-BE49-F238E27FC236}">
                <a16:creationId xmlns:a16="http://schemas.microsoft.com/office/drawing/2014/main" id="{00000000-0008-0000-0400-00001E140000}"/>
              </a:ext>
            </a:extLst>
          </xdr:cNvPr>
          <xdr:cNvSpPr>
            <a:spLocks noChangeShapeType="1"/>
          </xdr:cNvSpPr>
        </xdr:nvSpPr>
        <xdr:spPr bwMode="auto">
          <a:xfrm>
            <a:off x="99" y="788"/>
            <a:ext cx="0" cy="21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31" name="Text Box 31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" y="872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2004" rIns="0" bIns="0" anchor="t" upright="1"/>
          <a:lstStyle/>
          <a:p>
            <a:pPr algn="l" rtl="0">
              <a:defRPr sz="1000"/>
            </a:pPr>
            <a:r>
              <a:rPr lang="es-ES" sz="1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Vs</a:t>
            </a:r>
            <a:endParaRPr lang="es-ES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</xdr:row>
          <xdr:rowOff>142875</xdr:rowOff>
        </xdr:from>
        <xdr:to>
          <xdr:col>1</xdr:col>
          <xdr:colOff>723900</xdr:colOff>
          <xdr:row>4</xdr:row>
          <xdr:rowOff>76200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3" Type="http://schemas.openxmlformats.org/officeDocument/2006/relationships/vmlDrawing" Target="../drawings/vmlDrawing2.vml"/><Relationship Id="rId7" Type="http://schemas.openxmlformats.org/officeDocument/2006/relationships/oleObject" Target="../embeddings/oleObject4.bin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Relationship Id="rId9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6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0.bin"/><Relationship Id="rId3" Type="http://schemas.openxmlformats.org/officeDocument/2006/relationships/vmlDrawing" Target="../drawings/vmlDrawing4.vml"/><Relationship Id="rId7" Type="http://schemas.openxmlformats.org/officeDocument/2006/relationships/oleObject" Target="../embeddings/oleObject9.bin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8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7.bin"/><Relationship Id="rId9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zoomScale="90" zoomScaleNormal="90" zoomScaleSheetLayoutView="100" workbookViewId="0">
      <pane xSplit="1" ySplit="9" topLeftCell="F10" activePane="bottomRight" state="frozen"/>
      <selection activeCell="O39" sqref="O39"/>
      <selection pane="topRight" activeCell="O39" sqref="O39"/>
      <selection pane="bottomLeft" activeCell="O39" sqref="O39"/>
      <selection pane="bottomRight" activeCell="E37" sqref="E37"/>
    </sheetView>
  </sheetViews>
  <sheetFormatPr defaultColWidth="15.7109375" defaultRowHeight="15" customHeight="1"/>
  <cols>
    <col min="1" max="1" width="35.5703125" style="62" customWidth="1"/>
    <col min="2" max="13" width="15.7109375" style="64" customWidth="1"/>
    <col min="14" max="14" width="14.5703125" style="5" customWidth="1"/>
    <col min="15" max="15" width="14" style="5" customWidth="1"/>
    <col min="16" max="245" width="9.85546875" style="5" customWidth="1"/>
    <col min="246" max="246" width="35.5703125" style="5" customWidth="1"/>
    <col min="247" max="16384" width="15.7109375" style="5"/>
  </cols>
  <sheetData>
    <row r="1" spans="1:15" ht="19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4"/>
    </row>
    <row r="2" spans="1:15" ht="20.100000000000001" customHeight="1">
      <c r="A2" s="6"/>
      <c r="B2" s="7"/>
      <c r="C2" s="465"/>
      <c r="D2" s="465"/>
      <c r="E2" s="464"/>
      <c r="F2" s="465"/>
      <c r="G2" s="465"/>
      <c r="H2" s="465" t="str">
        <f>B21</f>
        <v>MAC QE 200 P</v>
      </c>
      <c r="I2" s="464"/>
      <c r="J2" s="464"/>
      <c r="K2" s="464"/>
      <c r="L2" s="8"/>
      <c r="M2" s="9"/>
      <c r="N2" s="8" t="s">
        <v>0</v>
      </c>
      <c r="O2" s="9" t="s">
        <v>246</v>
      </c>
    </row>
    <row r="3" spans="1:15" ht="20.100000000000001" customHeight="1">
      <c r="A3" s="6"/>
      <c r="B3" s="10"/>
      <c r="C3" s="464"/>
      <c r="D3" s="464"/>
      <c r="E3" s="464"/>
      <c r="F3" s="466"/>
      <c r="G3" s="464"/>
      <c r="H3" s="464"/>
      <c r="I3" s="464"/>
      <c r="J3" s="464"/>
      <c r="K3" s="464"/>
      <c r="L3" s="8"/>
      <c r="M3" s="11"/>
      <c r="N3" s="8" t="s">
        <v>1</v>
      </c>
      <c r="O3" s="11" t="s">
        <v>247</v>
      </c>
    </row>
    <row r="4" spans="1:15" ht="20.100000000000001" customHeight="1">
      <c r="A4" s="6"/>
      <c r="B4" s="12"/>
      <c r="C4" s="467"/>
      <c r="D4" s="467"/>
      <c r="E4" s="464"/>
      <c r="F4" s="467"/>
      <c r="G4" s="467"/>
      <c r="H4" s="467" t="s">
        <v>2</v>
      </c>
      <c r="I4" s="464"/>
      <c r="J4" s="464"/>
      <c r="K4" s="464"/>
      <c r="L4" s="8"/>
      <c r="M4" s="9"/>
      <c r="N4" s="8" t="s">
        <v>3</v>
      </c>
      <c r="O4" s="9" t="s">
        <v>4</v>
      </c>
    </row>
    <row r="5" spans="1:15" ht="20.100000000000001" customHeight="1">
      <c r="A5" s="6"/>
      <c r="B5" s="10"/>
      <c r="C5" s="464"/>
      <c r="D5" s="464"/>
      <c r="E5" s="464"/>
      <c r="F5" s="464"/>
      <c r="G5" s="464"/>
      <c r="H5" s="464"/>
      <c r="I5" s="464"/>
      <c r="J5" s="464"/>
      <c r="K5" s="464"/>
      <c r="L5" s="8"/>
      <c r="M5" s="13"/>
      <c r="N5" s="8" t="s">
        <v>5</v>
      </c>
      <c r="O5" s="13">
        <v>45244</v>
      </c>
    </row>
    <row r="6" spans="1:15" ht="20.100000000000001" customHeight="1" thickBot="1">
      <c r="A6" s="14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  <c r="N6" s="16"/>
      <c r="O6" s="17"/>
    </row>
    <row r="7" spans="1:15" ht="15" customHeight="1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5" s="22" customFormat="1" ht="15" customHeight="1">
      <c r="A8" s="20"/>
      <c r="B8" s="21" t="str">
        <f t="shared" ref="B8:K9" si="0">B21</f>
        <v>MAC QE 200 P</v>
      </c>
      <c r="C8" s="21" t="str">
        <f t="shared" si="0"/>
        <v>MAC QE 200 P</v>
      </c>
      <c r="D8" s="21" t="str">
        <f t="shared" si="0"/>
        <v>MAC QE 200 P</v>
      </c>
      <c r="E8" s="21" t="str">
        <f t="shared" si="0"/>
        <v>MAC QE 200 P</v>
      </c>
      <c r="F8" s="21" t="str">
        <f t="shared" si="0"/>
        <v>MAC QE 200 P</v>
      </c>
      <c r="G8" s="21" t="str">
        <f t="shared" si="0"/>
        <v>MAC QE 200 P</v>
      </c>
      <c r="H8" s="21" t="str">
        <f t="shared" si="0"/>
        <v>MAC QE 200 P</v>
      </c>
      <c r="I8" s="21" t="str">
        <f t="shared" si="0"/>
        <v>MAC QE 200 P</v>
      </c>
      <c r="J8" s="21" t="str">
        <f t="shared" si="0"/>
        <v>MAC QE 200 P</v>
      </c>
      <c r="K8" s="21" t="str">
        <f t="shared" si="0"/>
        <v>MAC QE 200 P</v>
      </c>
      <c r="L8" s="21">
        <f t="shared" ref="L8:O9" si="1">L21</f>
        <v>0</v>
      </c>
      <c r="M8" s="21">
        <f t="shared" si="1"/>
        <v>0</v>
      </c>
      <c r="N8" s="21">
        <f t="shared" si="1"/>
        <v>0</v>
      </c>
      <c r="O8" s="21">
        <f t="shared" si="1"/>
        <v>0</v>
      </c>
    </row>
    <row r="9" spans="1:15" s="25" customFormat="1" ht="15" customHeight="1">
      <c r="A9" s="23"/>
      <c r="B9" s="368" t="str">
        <f t="shared" si="0"/>
        <v>A61</v>
      </c>
      <c r="C9" s="368" t="str">
        <f t="shared" si="0"/>
        <v>B61</v>
      </c>
      <c r="D9" s="368" t="str">
        <f t="shared" si="0"/>
        <v>C61</v>
      </c>
      <c r="E9" s="368" t="str">
        <f t="shared" si="0"/>
        <v>D61</v>
      </c>
      <c r="F9" s="368" t="str">
        <f t="shared" si="0"/>
        <v>E61</v>
      </c>
      <c r="G9" s="368" t="str">
        <f t="shared" si="0"/>
        <v>F61</v>
      </c>
      <c r="H9" s="368" t="str">
        <f t="shared" si="0"/>
        <v>G61</v>
      </c>
      <c r="I9" s="368" t="str">
        <f t="shared" si="0"/>
        <v>H61</v>
      </c>
      <c r="J9" s="368" t="str">
        <f t="shared" si="0"/>
        <v>E62</v>
      </c>
      <c r="K9" s="368" t="str">
        <f t="shared" si="0"/>
        <v>F62</v>
      </c>
      <c r="L9" s="368">
        <f t="shared" si="1"/>
        <v>0</v>
      </c>
      <c r="M9" s="368">
        <f t="shared" si="1"/>
        <v>0</v>
      </c>
      <c r="N9" s="368">
        <f t="shared" si="1"/>
        <v>0</v>
      </c>
      <c r="O9" s="368">
        <f t="shared" si="1"/>
        <v>0</v>
      </c>
    </row>
    <row r="10" spans="1:15" s="22" customFormat="1" ht="15" customHeight="1">
      <c r="A10" s="26" t="s">
        <v>6</v>
      </c>
      <c r="B10" s="365">
        <v>6</v>
      </c>
      <c r="C10" s="365">
        <f>B10</f>
        <v>6</v>
      </c>
      <c r="D10" s="365">
        <f t="shared" ref="D10:M10" si="2">C10</f>
        <v>6</v>
      </c>
      <c r="E10" s="365">
        <f t="shared" si="2"/>
        <v>6</v>
      </c>
      <c r="F10" s="365">
        <f t="shared" si="2"/>
        <v>6</v>
      </c>
      <c r="G10" s="365">
        <f t="shared" si="2"/>
        <v>6</v>
      </c>
      <c r="H10" s="365">
        <f t="shared" si="2"/>
        <v>6</v>
      </c>
      <c r="I10" s="365">
        <f t="shared" si="2"/>
        <v>6</v>
      </c>
      <c r="J10" s="365">
        <f t="shared" si="2"/>
        <v>6</v>
      </c>
      <c r="K10" s="365">
        <f t="shared" si="2"/>
        <v>6</v>
      </c>
      <c r="L10" s="365">
        <f t="shared" si="2"/>
        <v>6</v>
      </c>
      <c r="M10" s="365">
        <f t="shared" si="2"/>
        <v>6</v>
      </c>
      <c r="N10" s="365">
        <f t="shared" ref="N10" si="3">M10</f>
        <v>6</v>
      </c>
      <c r="O10" s="365">
        <f t="shared" ref="O10" si="4">N10</f>
        <v>6</v>
      </c>
    </row>
    <row r="11" spans="1:15" s="30" customFormat="1" ht="15" customHeight="1">
      <c r="A11" s="28" t="s">
        <v>76</v>
      </c>
      <c r="B11" s="29">
        <v>705</v>
      </c>
      <c r="C11" s="29">
        <v>705</v>
      </c>
      <c r="D11" s="29">
        <v>705</v>
      </c>
      <c r="E11" s="29">
        <v>705</v>
      </c>
      <c r="F11" s="29">
        <v>705</v>
      </c>
      <c r="G11" s="29">
        <v>705</v>
      </c>
      <c r="H11" s="29">
        <v>705</v>
      </c>
      <c r="I11" s="428">
        <v>705</v>
      </c>
      <c r="J11" s="428">
        <v>650</v>
      </c>
      <c r="K11" s="428">
        <v>600</v>
      </c>
      <c r="L11" s="428"/>
      <c r="M11" s="428"/>
      <c r="N11" s="428"/>
      <c r="O11" s="428"/>
    </row>
    <row r="12" spans="1:15" s="33" customFormat="1" ht="15" customHeight="1">
      <c r="A12" s="31" t="s">
        <v>79</v>
      </c>
      <c r="B12" s="32">
        <v>540</v>
      </c>
      <c r="C12" s="32">
        <v>660</v>
      </c>
      <c r="D12" s="32">
        <v>780</v>
      </c>
      <c r="E12" s="32">
        <v>920</v>
      </c>
      <c r="F12" s="32">
        <v>1140</v>
      </c>
      <c r="G12" s="32">
        <v>1280</v>
      </c>
      <c r="H12" s="32">
        <v>1460</v>
      </c>
      <c r="I12" s="429">
        <v>1700</v>
      </c>
      <c r="J12" s="429">
        <v>2026.5360000000001</v>
      </c>
      <c r="K12" s="429">
        <v>2287.5800000000004</v>
      </c>
      <c r="L12" s="429"/>
      <c r="M12" s="429"/>
      <c r="N12" s="429"/>
      <c r="O12" s="429"/>
    </row>
    <row r="13" spans="1:15" s="36" customFormat="1" ht="15" customHeight="1">
      <c r="A13" s="34" t="s">
        <v>78</v>
      </c>
      <c r="B13" s="35">
        <v>39.846600000000002</v>
      </c>
      <c r="C13" s="35">
        <v>48.701400000000007</v>
      </c>
      <c r="D13" s="35">
        <v>57.556200000000004</v>
      </c>
      <c r="E13" s="35">
        <v>67.886799999999994</v>
      </c>
      <c r="F13" s="35">
        <v>84.120599999999996</v>
      </c>
      <c r="G13" s="35">
        <v>94.451199999999986</v>
      </c>
      <c r="H13" s="35">
        <v>107.7334</v>
      </c>
      <c r="I13" s="430">
        <v>125.443</v>
      </c>
      <c r="J13" s="430">
        <v>137.87199920000003</v>
      </c>
      <c r="K13" s="430">
        <v>143.66002400000002</v>
      </c>
      <c r="L13" s="430"/>
      <c r="M13" s="430"/>
      <c r="N13" s="430"/>
      <c r="O13" s="430"/>
    </row>
    <row r="14" spans="1:15" s="30" customFormat="1" ht="15" customHeight="1">
      <c r="A14" s="28" t="s">
        <v>128</v>
      </c>
      <c r="B14" s="29">
        <v>399.68681987238136</v>
      </c>
      <c r="C14" s="29">
        <v>399.68681987238136</v>
      </c>
      <c r="D14" s="29">
        <v>399.68681987238136</v>
      </c>
      <c r="E14" s="29">
        <v>399.68681987238136</v>
      </c>
      <c r="F14" s="29">
        <v>399.68681987238136</v>
      </c>
      <c r="G14" s="29">
        <v>399.68681987238136</v>
      </c>
      <c r="H14" s="29">
        <v>399.68681987238136</v>
      </c>
      <c r="I14" s="428">
        <v>399.68681987238136</v>
      </c>
      <c r="J14" s="428">
        <v>400</v>
      </c>
      <c r="K14" s="428">
        <v>400</v>
      </c>
      <c r="L14" s="428"/>
      <c r="M14" s="428"/>
      <c r="N14" s="428"/>
      <c r="O14" s="428"/>
    </row>
    <row r="15" spans="1:15" s="39" customFormat="1" ht="15" customHeight="1">
      <c r="A15" s="37" t="s">
        <v>32</v>
      </c>
      <c r="B15" s="38">
        <v>82.933161945902029</v>
      </c>
      <c r="C15" s="38">
        <v>99.215176532137278</v>
      </c>
      <c r="D15" s="38">
        <v>114.22319796676634</v>
      </c>
      <c r="E15" s="38">
        <v>134.94616792452854</v>
      </c>
      <c r="F15" s="38">
        <v>164.80704828666907</v>
      </c>
      <c r="G15" s="38">
        <v>185.40753107296055</v>
      </c>
      <c r="H15" s="38">
        <v>211.95146878333776</v>
      </c>
      <c r="I15" s="431">
        <v>247.42495234684944</v>
      </c>
      <c r="J15" s="431">
        <v>270.17449759708887</v>
      </c>
      <c r="K15" s="431">
        <v>288.62162127015864</v>
      </c>
      <c r="L15" s="431"/>
      <c r="M15" s="431"/>
      <c r="N15" s="431"/>
      <c r="O15" s="431"/>
    </row>
    <row r="16" spans="1:15" s="33" customFormat="1" ht="15" customHeight="1">
      <c r="A16" s="31" t="s">
        <v>80</v>
      </c>
      <c r="B16" s="38">
        <v>28</v>
      </c>
      <c r="C16" s="38">
        <v>34</v>
      </c>
      <c r="D16" s="38">
        <v>40</v>
      </c>
      <c r="E16" s="38">
        <v>47</v>
      </c>
      <c r="F16" s="38">
        <v>58</v>
      </c>
      <c r="G16" s="38">
        <v>65</v>
      </c>
      <c r="H16" s="38">
        <v>74</v>
      </c>
      <c r="I16" s="431">
        <v>86</v>
      </c>
      <c r="J16" s="431">
        <v>102</v>
      </c>
      <c r="K16" s="431">
        <v>115</v>
      </c>
      <c r="L16" s="431"/>
      <c r="M16" s="431"/>
      <c r="N16" s="431"/>
      <c r="O16" s="431"/>
    </row>
    <row r="17" spans="1:15" s="33" customFormat="1" ht="15" customHeight="1">
      <c r="A17" s="31" t="s">
        <v>131</v>
      </c>
      <c r="B17" s="40">
        <v>0.75509999999999999</v>
      </c>
      <c r="C17" s="40">
        <v>0.76190000000000002</v>
      </c>
      <c r="D17" s="40">
        <v>0.77529999999999999</v>
      </c>
      <c r="E17" s="40">
        <v>0.76890000000000003</v>
      </c>
      <c r="F17" s="40">
        <v>0.77459999999999996</v>
      </c>
      <c r="G17" s="40">
        <v>0.77080000000000004</v>
      </c>
      <c r="H17" s="40">
        <v>0.76680000000000004</v>
      </c>
      <c r="I17" s="54">
        <v>0.76280000000000003</v>
      </c>
      <c r="J17" s="54">
        <v>0.76060000000000005</v>
      </c>
      <c r="K17" s="54">
        <v>0.74180000000000001</v>
      </c>
      <c r="L17" s="54"/>
      <c r="M17" s="54"/>
      <c r="N17" s="54"/>
      <c r="O17" s="54"/>
    </row>
    <row r="18" spans="1:15" s="44" customFormat="1" ht="15" customHeight="1">
      <c r="A18" s="42" t="s">
        <v>141</v>
      </c>
      <c r="B18" s="43">
        <v>0.93269999999999997</v>
      </c>
      <c r="C18" s="43">
        <v>0.94210000000000005</v>
      </c>
      <c r="D18" s="43">
        <v>0.94850000000000001</v>
      </c>
      <c r="E18" s="43">
        <v>0.95409999999999995</v>
      </c>
      <c r="F18" s="43">
        <v>0.95960000000000001</v>
      </c>
      <c r="G18" s="43">
        <v>0.96199999999999997</v>
      </c>
      <c r="H18" s="43">
        <v>0.96450000000000002</v>
      </c>
      <c r="I18" s="341">
        <v>0.96660000000000001</v>
      </c>
      <c r="J18" s="341">
        <v>0.96840000000000004</v>
      </c>
      <c r="K18" s="341">
        <v>0.96850000000000003</v>
      </c>
      <c r="L18" s="341"/>
      <c r="M18" s="341"/>
      <c r="N18" s="341"/>
      <c r="O18" s="341"/>
    </row>
    <row r="19" spans="1:15" s="47" customFormat="1" ht="15" customHeight="1">
      <c r="A19" s="45" t="s">
        <v>142</v>
      </c>
      <c r="B19" s="46">
        <v>1.315005809909723</v>
      </c>
      <c r="C19" s="46">
        <v>1.315005809909723</v>
      </c>
      <c r="D19" s="46">
        <v>1.315005809909723</v>
      </c>
      <c r="E19" s="46">
        <v>1.315005809909723</v>
      </c>
      <c r="F19" s="46">
        <v>1.315005809909723</v>
      </c>
      <c r="G19" s="46">
        <v>1.315005809909723</v>
      </c>
      <c r="H19" s="46">
        <v>1.315005809909723</v>
      </c>
      <c r="I19" s="432">
        <v>1.315005809909723</v>
      </c>
      <c r="J19" s="432">
        <v>1.315005809909723</v>
      </c>
      <c r="K19" s="432">
        <v>1.315005809909723</v>
      </c>
      <c r="L19" s="432"/>
      <c r="M19" s="432"/>
      <c r="N19" s="432"/>
      <c r="O19" s="432"/>
    </row>
    <row r="20" spans="1:15" s="33" customFormat="1" ht="24.75" customHeight="1">
      <c r="A20" s="31"/>
      <c r="B20" s="366" t="s">
        <v>178</v>
      </c>
      <c r="C20" s="48"/>
      <c r="D20" s="48"/>
      <c r="E20" s="48"/>
      <c r="F20" s="48"/>
      <c r="G20" s="48"/>
      <c r="H20" s="48"/>
      <c r="I20" s="433"/>
      <c r="J20" s="433"/>
      <c r="K20" s="433"/>
      <c r="L20" s="433"/>
      <c r="M20" s="433"/>
      <c r="N20" s="433"/>
      <c r="O20" s="433"/>
    </row>
    <row r="21" spans="1:15" s="30" customFormat="1" ht="15" customHeight="1">
      <c r="A21" s="28"/>
      <c r="B21" s="49" t="s">
        <v>235</v>
      </c>
      <c r="C21" s="49" t="s">
        <v>235</v>
      </c>
      <c r="D21" s="49" t="s">
        <v>235</v>
      </c>
      <c r="E21" s="49" t="s">
        <v>235</v>
      </c>
      <c r="F21" s="49" t="s">
        <v>235</v>
      </c>
      <c r="G21" s="49" t="s">
        <v>235</v>
      </c>
      <c r="H21" s="49" t="s">
        <v>235</v>
      </c>
      <c r="I21" s="49" t="s">
        <v>235</v>
      </c>
      <c r="J21" s="49" t="s">
        <v>235</v>
      </c>
      <c r="K21" s="49" t="s">
        <v>235</v>
      </c>
      <c r="L21" s="49"/>
      <c r="M21" s="49"/>
      <c r="N21" s="49"/>
      <c r="O21" s="49"/>
    </row>
    <row r="22" spans="1:15" s="44" customFormat="1" ht="15" customHeight="1">
      <c r="A22" s="42"/>
      <c r="B22" s="367" t="s">
        <v>236</v>
      </c>
      <c r="C22" s="367" t="s">
        <v>237</v>
      </c>
      <c r="D22" s="367" t="s">
        <v>238</v>
      </c>
      <c r="E22" s="367" t="s">
        <v>239</v>
      </c>
      <c r="F22" s="367" t="s">
        <v>240</v>
      </c>
      <c r="G22" s="367" t="s">
        <v>241</v>
      </c>
      <c r="H22" s="367" t="s">
        <v>242</v>
      </c>
      <c r="I22" s="367" t="s">
        <v>243</v>
      </c>
      <c r="J22" s="367" t="s">
        <v>244</v>
      </c>
      <c r="K22" s="367" t="s">
        <v>245</v>
      </c>
      <c r="L22" s="367"/>
      <c r="M22" s="367"/>
      <c r="N22" s="367"/>
      <c r="O22" s="367"/>
    </row>
    <row r="23" spans="1:15" s="30" customFormat="1" ht="15" customHeight="1">
      <c r="A23" s="51" t="s">
        <v>143</v>
      </c>
      <c r="B23" s="52">
        <v>66.724863859764341</v>
      </c>
      <c r="C23" s="52">
        <v>45.945448073922975</v>
      </c>
      <c r="D23" s="52">
        <v>34.278316719627725</v>
      </c>
      <c r="E23" s="52">
        <v>24.465738932004356</v>
      </c>
      <c r="F23" s="52">
        <v>16.532384281627166</v>
      </c>
      <c r="G23" s="52">
        <v>13.185177405916406</v>
      </c>
      <c r="H23" s="52">
        <v>9.9783456992589272</v>
      </c>
      <c r="I23" s="52">
        <v>7.4138737621960376</v>
      </c>
      <c r="J23" s="52">
        <v>5.5107947605423897</v>
      </c>
      <c r="K23" s="52">
        <v>4.3950591353054671</v>
      </c>
      <c r="L23" s="52"/>
      <c r="M23" s="52"/>
      <c r="N23" s="52"/>
      <c r="O23" s="52"/>
    </row>
    <row r="24" spans="1:15" s="33" customFormat="1" ht="15" customHeight="1">
      <c r="A24" s="53" t="s">
        <v>144</v>
      </c>
      <c r="B24" s="52">
        <v>79.917523756946395</v>
      </c>
      <c r="C24" s="52">
        <v>55.498280386768336</v>
      </c>
      <c r="D24" s="52">
        <v>41.684733735065898</v>
      </c>
      <c r="E24" s="52">
        <v>29.845633367012439</v>
      </c>
      <c r="F24" s="52">
        <v>19.979380939236602</v>
      </c>
      <c r="G24" s="52">
        <v>15.786098601447328</v>
      </c>
      <c r="H24" s="52">
        <v>12.086288719892346</v>
      </c>
      <c r="I24" s="52">
        <v>8.8797248618829308</v>
      </c>
      <c r="J24" s="52">
        <v>6.6597936464122007</v>
      </c>
      <c r="K24" s="52">
        <v>5.2620328671491094</v>
      </c>
      <c r="L24" s="52"/>
      <c r="M24" s="52"/>
      <c r="N24" s="52"/>
      <c r="O24" s="52"/>
    </row>
    <row r="25" spans="1:15" s="33" customFormat="1" ht="15" customHeight="1">
      <c r="A25" s="53" t="s">
        <v>145</v>
      </c>
      <c r="B25" s="52">
        <v>296.49103117856657</v>
      </c>
      <c r="C25" s="52">
        <v>241.92750863366794</v>
      </c>
      <c r="D25" s="52">
        <v>206.96989398326392</v>
      </c>
      <c r="E25" s="52">
        <v>167.88420399344784</v>
      </c>
      <c r="F25" s="52">
        <v>131.21998441155787</v>
      </c>
      <c r="G25" s="52">
        <v>112.33354377914422</v>
      </c>
      <c r="H25" s="52">
        <v>93.89275653461803</v>
      </c>
      <c r="I25" s="52">
        <v>75.996027768312089</v>
      </c>
      <c r="J25" s="52">
        <v>63.208813239326652</v>
      </c>
      <c r="K25" s="52">
        <v>53.483251352003123</v>
      </c>
      <c r="L25" s="52"/>
      <c r="M25" s="52"/>
      <c r="N25" s="52"/>
      <c r="O25" s="52"/>
    </row>
    <row r="26" spans="1:15" s="33" customFormat="1" ht="15" customHeight="1">
      <c r="A26" s="53" t="s">
        <v>146</v>
      </c>
      <c r="B26" s="54">
        <v>1.3145781214200589</v>
      </c>
      <c r="C26" s="54">
        <v>0.91290147320837445</v>
      </c>
      <c r="D26" s="54">
        <v>0.68567989083339542</v>
      </c>
      <c r="E26" s="54">
        <v>0.49093634036413442</v>
      </c>
      <c r="F26" s="54">
        <v>0.32864453035501484</v>
      </c>
      <c r="G26" s="54">
        <v>0.25966845403213196</v>
      </c>
      <c r="H26" s="54">
        <v>0.19880959736262502</v>
      </c>
      <c r="I26" s="54">
        <v>0.1460642357133399</v>
      </c>
      <c r="J26" s="54">
        <v>0.10954817678500491</v>
      </c>
      <c r="K26" s="54">
        <v>8.6556151344043944E-2</v>
      </c>
      <c r="L26" s="54"/>
      <c r="M26" s="54"/>
      <c r="N26" s="54"/>
      <c r="O26" s="54"/>
    </row>
    <row r="27" spans="1:15" s="33" customFormat="1" ht="15" customHeight="1">
      <c r="A27" s="53" t="s">
        <v>147</v>
      </c>
      <c r="B27" s="54">
        <v>1.2767793791339472</v>
      </c>
      <c r="C27" s="54">
        <v>0.87660235013599663</v>
      </c>
      <c r="D27" s="54">
        <v>0.64592888105291879</v>
      </c>
      <c r="E27" s="54">
        <v>0.46591579897783009</v>
      </c>
      <c r="F27" s="54">
        <v>0.30932047261287898</v>
      </c>
      <c r="G27" s="54">
        <v>0.24554822450004252</v>
      </c>
      <c r="H27" s="54">
        <v>0.18896213466750447</v>
      </c>
      <c r="I27" s="54">
        <v>0.13956136504824015</v>
      </c>
      <c r="J27" s="54">
        <v>0.10525607682505633</v>
      </c>
      <c r="K27" s="54">
        <v>8.5524031658602728E-2</v>
      </c>
      <c r="L27" s="54"/>
      <c r="M27" s="54"/>
      <c r="N27" s="54"/>
      <c r="O27" s="54"/>
    </row>
    <row r="28" spans="1:15" s="33" customFormat="1" ht="15" customHeight="1">
      <c r="A28" s="53" t="s">
        <v>148</v>
      </c>
      <c r="B28" s="54">
        <v>25.583370713670384</v>
      </c>
      <c r="C28" s="54">
        <v>17.994327921113527</v>
      </c>
      <c r="D28" s="54">
        <v>13.827754435019413</v>
      </c>
      <c r="E28" s="54">
        <v>9.802278112576575</v>
      </c>
      <c r="F28" s="54">
        <v>6.6258117830686736</v>
      </c>
      <c r="G28" s="54">
        <v>5.2040803255309971</v>
      </c>
      <c r="H28" s="54">
        <v>3.9587351380380791</v>
      </c>
      <c r="I28" s="54">
        <v>2.8895336337487825</v>
      </c>
      <c r="J28" s="54">
        <v>2.2234748888735187</v>
      </c>
      <c r="K28" s="54">
        <v>1.7574928715395688</v>
      </c>
      <c r="L28" s="54"/>
      <c r="M28" s="54"/>
      <c r="N28" s="54"/>
      <c r="O28" s="54"/>
    </row>
    <row r="29" spans="1:15" s="33" customFormat="1" ht="15" customHeight="1">
      <c r="A29" s="53" t="s">
        <v>149</v>
      </c>
      <c r="B29" s="54">
        <v>0.4031173280716146</v>
      </c>
      <c r="C29" s="54">
        <v>0.41151474600708016</v>
      </c>
      <c r="D29" s="54">
        <v>0.42339985491593385</v>
      </c>
      <c r="E29" s="54">
        <v>0.42071954096901826</v>
      </c>
      <c r="F29" s="54">
        <v>0.42065658497621189</v>
      </c>
      <c r="G29" s="54">
        <v>0.41438568563449552</v>
      </c>
      <c r="H29" s="54">
        <v>0.41665671452027125</v>
      </c>
      <c r="I29" s="54">
        <v>0.40944828126706034</v>
      </c>
      <c r="J29" s="54">
        <v>0.423355099769475</v>
      </c>
      <c r="K29" s="54">
        <v>0.41957319938436888</v>
      </c>
      <c r="L29" s="54"/>
      <c r="M29" s="54"/>
      <c r="N29" s="54"/>
      <c r="O29" s="54"/>
    </row>
    <row r="30" spans="1:15" s="33" customFormat="1" ht="15" customHeight="1">
      <c r="A30" s="53" t="s">
        <v>150</v>
      </c>
      <c r="B30" s="54">
        <v>0.33609837780377499</v>
      </c>
      <c r="C30" s="54">
        <v>0.34002729705745355</v>
      </c>
      <c r="D30" s="54">
        <v>0.34721784258146349</v>
      </c>
      <c r="E30" s="54">
        <v>0.34404342455347459</v>
      </c>
      <c r="F30" s="54">
        <v>0.3471144715030664</v>
      </c>
      <c r="G30" s="54">
        <v>0.34521693343099968</v>
      </c>
      <c r="H30" s="54">
        <v>0.34317377061157345</v>
      </c>
      <c r="I30" s="54">
        <v>0.34112487108690753</v>
      </c>
      <c r="J30" s="54">
        <v>0.34967013834627159</v>
      </c>
      <c r="K30" s="54">
        <v>0.3502480789704171</v>
      </c>
      <c r="L30" s="54"/>
      <c r="M30" s="54"/>
      <c r="N30" s="54"/>
      <c r="O30" s="54"/>
    </row>
    <row r="31" spans="1:15" s="33" customFormat="1" ht="15" customHeight="1">
      <c r="A31" s="55" t="s">
        <v>151</v>
      </c>
      <c r="B31" s="54">
        <v>98.583944798243834</v>
      </c>
      <c r="C31" s="54">
        <v>82.153287331869862</v>
      </c>
      <c r="D31" s="54">
        <v>71.198967999038345</v>
      </c>
      <c r="E31" s="54">
        <v>60.245634505654792</v>
      </c>
      <c r="F31" s="54">
        <v>49.291972399121903</v>
      </c>
      <c r="G31" s="54">
        <v>43.814977039280805</v>
      </c>
      <c r="H31" s="54">
        <v>38.338195277986777</v>
      </c>
      <c r="I31" s="54">
        <v>32.861314932747938</v>
      </c>
      <c r="J31" s="54">
        <v>28.45873353352064</v>
      </c>
      <c r="K31" s="54">
        <v>25.296588788166055</v>
      </c>
      <c r="L31" s="54"/>
      <c r="M31" s="54"/>
      <c r="N31" s="54"/>
      <c r="O31" s="54"/>
    </row>
    <row r="32" spans="1:15" s="58" customFormat="1" ht="15" customHeight="1">
      <c r="A32" s="56" t="s">
        <v>152</v>
      </c>
      <c r="B32" s="57">
        <v>47.379104359497909</v>
      </c>
      <c r="C32" s="57">
        <v>55.668351044921167</v>
      </c>
      <c r="D32" s="57">
        <v>61.730627470251463</v>
      </c>
      <c r="E32" s="57">
        <v>74.257111966692307</v>
      </c>
      <c r="F32" s="57">
        <v>89.209428032583105</v>
      </c>
      <c r="G32" s="57">
        <v>101.43541686790246</v>
      </c>
      <c r="H32" s="57">
        <v>117.24327434675257</v>
      </c>
      <c r="I32" s="57">
        <v>138.32269547468172</v>
      </c>
      <c r="J32" s="57">
        <v>152.62759372619101</v>
      </c>
      <c r="K32" s="57">
        <v>171.58262270251331</v>
      </c>
      <c r="L32" s="57"/>
      <c r="M32" s="57"/>
      <c r="N32" s="57"/>
      <c r="O32" s="57"/>
    </row>
    <row r="33" spans="1:15" ht="15" customHeight="1">
      <c r="A33" s="59"/>
      <c r="B33" s="60"/>
      <c r="C33" s="60"/>
      <c r="D33" s="60"/>
      <c r="E33" s="60"/>
      <c r="F33" s="60"/>
      <c r="G33" s="60"/>
      <c r="H33" s="60"/>
      <c r="I33" s="61"/>
      <c r="J33" s="61"/>
      <c r="K33" s="61"/>
      <c r="L33" s="61"/>
      <c r="M33" s="61"/>
      <c r="N33" s="61"/>
      <c r="O33" s="61"/>
    </row>
    <row r="35" spans="1:15" ht="15" customHeight="1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</row>
  </sheetData>
  <pageMargins left="0.39370078740157483" right="0.19685039370078741" top="0.39370078740157483" bottom="0.59055118110236227" header="0.19685039370078741" footer="0.39370078740157483"/>
  <pageSetup paperSize="9" scale="55" fitToHeight="0" orientation="portrait" horizontalDpi="120" verticalDpi="14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>
              <from>
                <xdr:col>0</xdr:col>
                <xdr:colOff>180975</xdr:colOff>
                <xdr:row>1</xdr:row>
                <xdr:rowOff>161925</xdr:rowOff>
              </from>
              <to>
                <xdr:col>0</xdr:col>
                <xdr:colOff>1819275</xdr:colOff>
                <xdr:row>4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153"/>
  <sheetViews>
    <sheetView tabSelected="1" view="pageBreakPreview" topLeftCell="A76" zoomScaleNormal="100" zoomScaleSheetLayoutView="100" workbookViewId="0">
      <selection activeCell="O23" sqref="O1:AE1048576"/>
    </sheetView>
  </sheetViews>
  <sheetFormatPr defaultColWidth="10.7109375" defaultRowHeight="15" customHeight="1"/>
  <cols>
    <col min="1" max="2" width="11" style="76" customWidth="1"/>
    <col min="3" max="4" width="11" style="90" customWidth="1"/>
    <col min="5" max="5" width="11" style="76" customWidth="1"/>
    <col min="6" max="6" width="11" style="90" customWidth="1"/>
    <col min="7" max="8" width="11" style="76" customWidth="1"/>
    <col min="9" max="9" width="11" style="90" customWidth="1"/>
    <col min="10" max="10" width="11" style="170" customWidth="1"/>
    <col min="11" max="11" width="11.85546875" style="76" customWidth="1"/>
    <col min="12" max="12" width="11" style="90" customWidth="1"/>
    <col min="13" max="14" width="11" style="76" customWidth="1"/>
    <col min="15" max="28" width="8.7109375" style="404" customWidth="1"/>
    <col min="29" max="33" width="10.7109375" style="404" customWidth="1"/>
    <col min="34" max="56" width="10.7109375" style="417" customWidth="1"/>
    <col min="57" max="16384" width="10.7109375" style="76"/>
  </cols>
  <sheetData>
    <row r="1" spans="1:56" ht="20.100000000000001" customHeight="1">
      <c r="A1" s="65"/>
      <c r="B1" s="66"/>
      <c r="C1" s="67"/>
      <c r="D1" s="68"/>
      <c r="E1" s="69"/>
      <c r="F1" s="69"/>
      <c r="G1" s="69"/>
      <c r="H1" s="69"/>
      <c r="I1" s="69"/>
      <c r="J1" s="70"/>
      <c r="K1" s="71"/>
      <c r="L1" s="72" t="s">
        <v>7</v>
      </c>
      <c r="M1" s="600" t="str">
        <f>RESUM!O2</f>
        <v>DT-QE 200 P</v>
      </c>
      <c r="N1" s="601"/>
    </row>
    <row r="2" spans="1:56" ht="20.100000000000001" customHeight="1">
      <c r="A2" s="77"/>
      <c r="C2" s="78"/>
      <c r="D2" s="602" t="str">
        <f>RESUM!H2</f>
        <v>MAC QE 200 P</v>
      </c>
      <c r="E2" s="603"/>
      <c r="F2" s="603"/>
      <c r="G2" s="603"/>
      <c r="H2" s="603"/>
      <c r="I2" s="603"/>
      <c r="J2" s="603"/>
      <c r="K2" s="604"/>
      <c r="L2" s="79" t="s">
        <v>8</v>
      </c>
      <c r="M2" s="605" t="s">
        <v>247</v>
      </c>
      <c r="N2" s="606"/>
    </row>
    <row r="3" spans="1:56" ht="20.100000000000001" customHeight="1">
      <c r="A3" s="77"/>
      <c r="C3" s="78"/>
      <c r="D3" s="607" t="s">
        <v>9</v>
      </c>
      <c r="E3" s="608"/>
      <c r="F3" s="608"/>
      <c r="G3" s="608"/>
      <c r="H3" s="608"/>
      <c r="I3" s="608"/>
      <c r="J3" s="608"/>
      <c r="K3" s="609"/>
      <c r="L3" s="79" t="s">
        <v>10</v>
      </c>
      <c r="M3" s="610" t="s">
        <v>11</v>
      </c>
      <c r="N3" s="546"/>
    </row>
    <row r="4" spans="1:56" ht="20.100000000000001" customHeight="1">
      <c r="A4" s="77"/>
      <c r="C4" s="78"/>
      <c r="D4" s="618" t="s">
        <v>12</v>
      </c>
      <c r="E4" s="619"/>
      <c r="F4" s="619"/>
      <c r="G4" s="619"/>
      <c r="H4" s="619"/>
      <c r="I4" s="619"/>
      <c r="J4" s="619"/>
      <c r="K4" s="620"/>
      <c r="L4" s="79" t="s">
        <v>13</v>
      </c>
      <c r="M4" s="611">
        <f>RESUM!O5</f>
        <v>45244</v>
      </c>
      <c r="N4" s="546"/>
    </row>
    <row r="5" spans="1:56" ht="20.100000000000001" customHeight="1" thickBot="1">
      <c r="A5" s="81"/>
      <c r="B5" s="82"/>
      <c r="C5" s="83"/>
      <c r="D5" s="84"/>
      <c r="E5" s="85"/>
      <c r="F5" s="86"/>
      <c r="G5" s="85"/>
      <c r="H5" s="85"/>
      <c r="I5" s="86"/>
      <c r="J5" s="87"/>
      <c r="K5" s="88"/>
      <c r="L5" s="85"/>
      <c r="M5" s="612"/>
      <c r="N5" s="613"/>
    </row>
    <row r="6" spans="1:56" ht="21" customHeight="1" thickBot="1">
      <c r="B6" s="89"/>
      <c r="D6" s="91"/>
      <c r="E6" s="91"/>
      <c r="F6" s="91"/>
      <c r="G6" s="92"/>
      <c r="H6" s="92"/>
      <c r="I6" s="93"/>
      <c r="J6" s="93"/>
      <c r="K6" s="92"/>
      <c r="L6" s="92"/>
      <c r="M6" s="92"/>
      <c r="N6" s="89"/>
    </row>
    <row r="7" spans="1:56" s="104" customFormat="1" ht="18" customHeight="1" thickBot="1">
      <c r="A7" s="94" t="s">
        <v>14</v>
      </c>
      <c r="B7" s="95"/>
      <c r="C7" s="95"/>
      <c r="D7" s="96"/>
      <c r="E7" s="97" t="s">
        <v>15</v>
      </c>
      <c r="F7" s="98"/>
      <c r="G7" s="99" t="s">
        <v>16</v>
      </c>
      <c r="H7" s="553" t="s">
        <v>248</v>
      </c>
      <c r="I7" s="553"/>
      <c r="J7" s="614" t="s">
        <v>217</v>
      </c>
      <c r="K7" s="614"/>
      <c r="L7" s="614"/>
      <c r="M7" s="553" t="s">
        <v>249</v>
      </c>
      <c r="N7" s="615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</row>
    <row r="8" spans="1:56" s="104" customFormat="1" ht="18" customHeight="1" thickBot="1">
      <c r="A8" s="105" t="s">
        <v>17</v>
      </c>
      <c r="B8" s="99"/>
      <c r="C8" s="553" t="s">
        <v>225</v>
      </c>
      <c r="D8" s="554"/>
      <c r="E8" s="106" t="s">
        <v>18</v>
      </c>
      <c r="F8" s="107"/>
      <c r="G8" s="108" t="s">
        <v>19</v>
      </c>
      <c r="H8" s="555"/>
      <c r="I8" s="555"/>
      <c r="J8" s="565" t="s">
        <v>218</v>
      </c>
      <c r="K8" s="565"/>
      <c r="L8" s="565"/>
      <c r="M8" s="616"/>
      <c r="N8" s="617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</row>
    <row r="9" spans="1:56" s="104" customFormat="1" ht="18" customHeight="1" thickBot="1">
      <c r="A9" s="452" t="s">
        <v>20</v>
      </c>
      <c r="B9" s="453"/>
      <c r="C9" s="555"/>
      <c r="D9" s="556"/>
      <c r="E9" s="109" t="s">
        <v>21</v>
      </c>
      <c r="F9" s="566">
        <f>RESUM!B10</f>
        <v>6</v>
      </c>
      <c r="G9" s="577" t="s">
        <v>22</v>
      </c>
      <c r="H9" s="578"/>
      <c r="I9" s="567">
        <f>RESUM!B19</f>
        <v>1.315005809909723</v>
      </c>
      <c r="J9" s="568"/>
      <c r="K9" s="111" t="s">
        <v>23</v>
      </c>
      <c r="M9" s="571">
        <v>640</v>
      </c>
      <c r="N9" s="572"/>
      <c r="O9" s="101"/>
      <c r="P9" s="405"/>
      <c r="Q9" s="101"/>
      <c r="R9" s="406"/>
      <c r="S9" s="406"/>
      <c r="T9" s="406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418"/>
      <c r="AM9" s="418"/>
      <c r="AN9" s="418"/>
      <c r="AO9" s="419"/>
      <c r="AP9" s="418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</row>
    <row r="10" spans="1:56" s="104" customFormat="1" ht="18" customHeight="1" thickBot="1">
      <c r="A10" s="447" t="s">
        <v>226</v>
      </c>
      <c r="B10" s="443"/>
      <c r="C10" s="490" t="s">
        <v>229</v>
      </c>
      <c r="D10" s="491" t="s">
        <v>230</v>
      </c>
      <c r="E10" s="112" t="s">
        <v>24</v>
      </c>
      <c r="F10" s="556"/>
      <c r="G10" s="575" t="s">
        <v>25</v>
      </c>
      <c r="H10" s="576"/>
      <c r="I10" s="569"/>
      <c r="J10" s="570"/>
      <c r="K10" s="114" t="s">
        <v>26</v>
      </c>
      <c r="L10" s="115"/>
      <c r="M10" s="573"/>
      <c r="N10" s="574"/>
      <c r="O10" s="101"/>
      <c r="P10" s="405"/>
      <c r="Q10" s="407"/>
      <c r="S10" s="408"/>
      <c r="T10" s="406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418"/>
      <c r="AM10" s="418"/>
      <c r="AN10" s="418"/>
      <c r="AO10" s="419"/>
      <c r="AP10" s="418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</row>
    <row r="11" spans="1:56" s="104" customFormat="1" ht="18" customHeight="1">
      <c r="A11" s="448" t="s">
        <v>227</v>
      </c>
      <c r="B11" s="135"/>
      <c r="C11" s="443" t="s">
        <v>223</v>
      </c>
      <c r="D11" s="444" t="s">
        <v>224</v>
      </c>
      <c r="E11" s="117" t="s">
        <v>27</v>
      </c>
      <c r="F11" s="118"/>
      <c r="G11" s="566" t="s">
        <v>228</v>
      </c>
      <c r="H11" s="119" t="s">
        <v>28</v>
      </c>
      <c r="I11" s="100"/>
      <c r="J11" s="120" t="s">
        <v>29</v>
      </c>
      <c r="K11" s="121" t="s">
        <v>30</v>
      </c>
      <c r="L11" s="110" t="s">
        <v>31</v>
      </c>
      <c r="M11" s="97"/>
      <c r="N11" s="590" t="s">
        <v>32</v>
      </c>
      <c r="O11" s="101"/>
      <c r="P11" s="420"/>
      <c r="Q11" s="420"/>
      <c r="S11" s="406"/>
      <c r="T11" s="443"/>
      <c r="U11" s="443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418"/>
      <c r="AM11" s="418"/>
      <c r="AN11" s="419"/>
      <c r="AO11" s="418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</row>
    <row r="12" spans="1:56" s="104" customFormat="1" ht="18" customHeight="1" thickBot="1">
      <c r="A12" s="447" t="s">
        <v>33</v>
      </c>
      <c r="B12" s="443"/>
      <c r="C12" s="443" t="s">
        <v>257</v>
      </c>
      <c r="D12" s="444" t="s">
        <v>257</v>
      </c>
      <c r="E12" s="122" t="s">
        <v>34</v>
      </c>
      <c r="F12" s="123"/>
      <c r="G12" s="589"/>
      <c r="H12" s="124" t="s">
        <v>35</v>
      </c>
      <c r="I12" s="113"/>
      <c r="J12" s="123" t="s">
        <v>36</v>
      </c>
      <c r="K12" s="125" t="s">
        <v>37</v>
      </c>
      <c r="L12" s="126" t="s">
        <v>38</v>
      </c>
      <c r="M12" s="109"/>
      <c r="N12" s="591"/>
      <c r="O12" s="101"/>
      <c r="P12" s="446"/>
      <c r="Q12" s="446"/>
      <c r="S12" s="406"/>
      <c r="T12" s="443"/>
      <c r="U12" s="443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418"/>
      <c r="AM12" s="418"/>
      <c r="AN12" s="419"/>
      <c r="AO12" s="418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</row>
    <row r="13" spans="1:56" s="104" customFormat="1" ht="18" customHeight="1">
      <c r="A13" s="447" t="s">
        <v>39</v>
      </c>
      <c r="B13" s="135"/>
      <c r="C13" s="443" t="s">
        <v>258</v>
      </c>
      <c r="D13" s="444" t="s">
        <v>259</v>
      </c>
      <c r="E13" s="127" t="s">
        <v>40</v>
      </c>
      <c r="F13" s="115"/>
      <c r="G13" s="592" t="s">
        <v>250</v>
      </c>
      <c r="H13" s="593"/>
      <c r="I13" s="128" t="s">
        <v>41</v>
      </c>
      <c r="J13" s="129"/>
      <c r="K13" s="129"/>
      <c r="L13" s="596">
        <v>4000</v>
      </c>
      <c r="M13" s="596"/>
      <c r="N13" s="597"/>
      <c r="O13" s="101"/>
      <c r="P13" s="420"/>
      <c r="Q13" s="420"/>
      <c r="S13" s="406"/>
      <c r="T13" s="445"/>
      <c r="U13" s="445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418"/>
      <c r="AM13" s="418"/>
      <c r="AN13" s="419"/>
      <c r="AO13" s="418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</row>
    <row r="14" spans="1:56" s="104" customFormat="1" ht="18" customHeight="1" thickBot="1">
      <c r="A14" s="447"/>
      <c r="B14" s="135"/>
      <c r="C14" s="443"/>
      <c r="D14" s="444"/>
      <c r="E14" s="130" t="s">
        <v>42</v>
      </c>
      <c r="F14" s="131"/>
      <c r="G14" s="594"/>
      <c r="H14" s="595"/>
      <c r="I14" s="132" t="s">
        <v>43</v>
      </c>
      <c r="J14" s="131"/>
      <c r="K14" s="131"/>
      <c r="L14" s="598"/>
      <c r="M14" s="598"/>
      <c r="N14" s="599"/>
      <c r="O14" s="101"/>
      <c r="P14" s="420"/>
      <c r="Q14" s="420"/>
      <c r="S14" s="406"/>
      <c r="T14" s="443"/>
      <c r="U14" s="443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418"/>
      <c r="AM14" s="418"/>
      <c r="AN14" s="419"/>
      <c r="AO14" s="418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</row>
    <row r="15" spans="1:56" s="104" customFormat="1" ht="18" customHeight="1" thickBot="1">
      <c r="A15" s="449"/>
      <c r="B15" s="450"/>
      <c r="C15" s="450"/>
      <c r="D15" s="451"/>
      <c r="E15" s="97" t="s">
        <v>44</v>
      </c>
      <c r="F15" s="554" t="s">
        <v>45</v>
      </c>
      <c r="G15" s="110" t="s">
        <v>46</v>
      </c>
      <c r="I15" s="554" t="s">
        <v>47</v>
      </c>
      <c r="J15" s="110" t="s">
        <v>221</v>
      </c>
      <c r="K15" s="579" t="s">
        <v>256</v>
      </c>
      <c r="L15" s="402" t="s">
        <v>48</v>
      </c>
      <c r="M15" s="399"/>
      <c r="N15" s="581" t="s">
        <v>49</v>
      </c>
      <c r="O15" s="101"/>
      <c r="P15" s="420"/>
      <c r="Q15" s="420"/>
      <c r="S15" s="406"/>
      <c r="T15" s="443"/>
      <c r="U15" s="443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418"/>
      <c r="AM15" s="418"/>
      <c r="AN15" s="419"/>
      <c r="AO15" s="418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</row>
    <row r="16" spans="1:56" s="104" customFormat="1" ht="18" customHeight="1" thickBot="1">
      <c r="A16" s="583" t="s">
        <v>50</v>
      </c>
      <c r="B16" s="584"/>
      <c r="C16" s="584"/>
      <c r="D16" s="585"/>
      <c r="E16" s="133" t="s">
        <v>51</v>
      </c>
      <c r="F16" s="556"/>
      <c r="G16" s="133" t="s">
        <v>52</v>
      </c>
      <c r="I16" s="556"/>
      <c r="J16" s="133" t="s">
        <v>222</v>
      </c>
      <c r="K16" s="580"/>
      <c r="L16" s="403" t="s">
        <v>53</v>
      </c>
      <c r="M16" s="399"/>
      <c r="N16" s="582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418"/>
      <c r="AM16" s="418"/>
      <c r="AN16" s="419"/>
      <c r="AO16" s="418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</row>
    <row r="17" spans="1:56" s="104" customFormat="1" ht="18" customHeight="1">
      <c r="A17" s="583"/>
      <c r="B17" s="584"/>
      <c r="C17" s="584"/>
      <c r="D17" s="585"/>
      <c r="E17" s="110" t="s">
        <v>54</v>
      </c>
      <c r="F17" s="553" t="s">
        <v>55</v>
      </c>
      <c r="G17" s="553"/>
      <c r="H17" s="554"/>
      <c r="I17" s="110" t="s">
        <v>56</v>
      </c>
      <c r="J17" s="100"/>
      <c r="K17" s="553" t="s">
        <v>57</v>
      </c>
      <c r="L17" s="553"/>
      <c r="M17" s="553"/>
      <c r="N17" s="554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418"/>
      <c r="AM17" s="418"/>
      <c r="AN17" s="419"/>
      <c r="AO17" s="418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</row>
    <row r="18" spans="1:56" s="104" customFormat="1" ht="18" customHeight="1" thickBot="1">
      <c r="A18" s="586"/>
      <c r="B18" s="587"/>
      <c r="C18" s="587"/>
      <c r="D18" s="588"/>
      <c r="E18" s="133" t="s">
        <v>58</v>
      </c>
      <c r="F18" s="555"/>
      <c r="G18" s="555"/>
      <c r="H18" s="556"/>
      <c r="I18" s="133" t="s">
        <v>59</v>
      </c>
      <c r="J18" s="113"/>
      <c r="K18" s="555"/>
      <c r="L18" s="555"/>
      <c r="M18" s="555"/>
      <c r="N18" s="556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418"/>
      <c r="AM18" s="418"/>
      <c r="AN18" s="419"/>
      <c r="AO18" s="418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</row>
    <row r="19" spans="1:56" s="104" customFormat="1" ht="18" customHeight="1">
      <c r="A19" s="110" t="s">
        <v>60</v>
      </c>
      <c r="B19" s="100"/>
      <c r="C19" s="553" t="s">
        <v>61</v>
      </c>
      <c r="D19" s="554"/>
      <c r="E19" s="134" t="s">
        <v>62</v>
      </c>
      <c r="F19" s="135"/>
      <c r="G19" s="136"/>
      <c r="H19" s="543" t="s">
        <v>251</v>
      </c>
      <c r="I19" s="543" t="s">
        <v>63</v>
      </c>
      <c r="J19" s="557" t="s">
        <v>252</v>
      </c>
      <c r="K19" s="543" t="s">
        <v>253</v>
      </c>
      <c r="L19" s="543" t="s">
        <v>254</v>
      </c>
      <c r="M19" s="543" t="s">
        <v>255</v>
      </c>
      <c r="N19" s="547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418"/>
      <c r="AM19" s="418"/>
      <c r="AN19" s="419"/>
      <c r="AO19" s="418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</row>
    <row r="20" spans="1:56" s="104" customFormat="1" ht="18" customHeight="1" thickBot="1">
      <c r="A20" s="133" t="s">
        <v>64</v>
      </c>
      <c r="B20" s="113"/>
      <c r="C20" s="555"/>
      <c r="D20" s="556"/>
      <c r="E20" s="137" t="s">
        <v>65</v>
      </c>
      <c r="F20" s="135"/>
      <c r="G20" s="136"/>
      <c r="H20" s="544"/>
      <c r="I20" s="544"/>
      <c r="J20" s="558"/>
      <c r="K20" s="544"/>
      <c r="L20" s="544"/>
      <c r="M20" s="544"/>
      <c r="N20" s="548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418"/>
      <c r="AM20" s="418"/>
      <c r="AN20" s="419"/>
      <c r="AO20" s="418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</row>
    <row r="21" spans="1:56" s="138" customFormat="1" ht="18" customHeight="1">
      <c r="A21" s="549" t="s">
        <v>66</v>
      </c>
      <c r="B21" s="550"/>
      <c r="C21" s="550"/>
      <c r="D21" s="550"/>
      <c r="E21" s="551" t="s">
        <v>67</v>
      </c>
      <c r="F21" s="559">
        <v>400</v>
      </c>
      <c r="G21" s="560"/>
      <c r="H21" s="549" t="s">
        <v>68</v>
      </c>
      <c r="I21" s="550"/>
      <c r="J21" s="550"/>
      <c r="K21" s="550"/>
      <c r="L21" s="551" t="s">
        <v>69</v>
      </c>
      <c r="M21" s="559">
        <v>400</v>
      </c>
      <c r="N21" s="560"/>
      <c r="O21" s="404"/>
      <c r="P21" s="404"/>
      <c r="Q21" s="404"/>
      <c r="R21" s="404"/>
      <c r="S21" s="404"/>
      <c r="T21" s="404"/>
      <c r="U21" s="404"/>
      <c r="V21" s="404"/>
      <c r="W21" s="404"/>
      <c r="X21" s="404"/>
      <c r="Y21" s="404"/>
      <c r="Z21" s="404"/>
      <c r="AA21" s="404"/>
      <c r="AB21" s="404"/>
      <c r="AC21" s="404"/>
      <c r="AD21" s="404"/>
      <c r="AE21" s="404"/>
      <c r="AF21" s="404"/>
      <c r="AG21" s="404"/>
      <c r="AH21" s="404"/>
      <c r="AI21" s="404"/>
      <c r="AJ21" s="404"/>
      <c r="AK21" s="404"/>
      <c r="AL21" s="412"/>
      <c r="AM21" s="412"/>
      <c r="AN21" s="412"/>
      <c r="AO21" s="421"/>
      <c r="AP21" s="412"/>
      <c r="AQ21" s="404"/>
      <c r="AR21" s="404"/>
      <c r="AS21" s="404"/>
      <c r="AT21" s="404"/>
      <c r="AU21" s="404"/>
      <c r="AV21" s="404"/>
      <c r="AW21" s="404"/>
      <c r="AX21" s="404"/>
      <c r="AY21" s="404"/>
      <c r="AZ21" s="404"/>
      <c r="BA21" s="404"/>
      <c r="BB21" s="404"/>
      <c r="BC21" s="404"/>
      <c r="BD21" s="404"/>
    </row>
    <row r="22" spans="1:56" s="138" customFormat="1" ht="18" customHeight="1" thickBot="1">
      <c r="A22" s="563" t="s">
        <v>70</v>
      </c>
      <c r="B22" s="564"/>
      <c r="C22" s="564"/>
      <c r="D22" s="564"/>
      <c r="E22" s="552"/>
      <c r="F22" s="561"/>
      <c r="G22" s="562"/>
      <c r="H22" s="563" t="s">
        <v>71</v>
      </c>
      <c r="I22" s="564"/>
      <c r="J22" s="564"/>
      <c r="K22" s="564"/>
      <c r="L22" s="552"/>
      <c r="M22" s="561"/>
      <c r="N22" s="562"/>
      <c r="O22" s="404"/>
      <c r="P22" s="404"/>
      <c r="Q22" s="404"/>
      <c r="R22" s="404"/>
      <c r="S22" s="404"/>
      <c r="T22" s="404"/>
      <c r="U22" s="404"/>
      <c r="V22" s="404"/>
      <c r="W22" s="404"/>
      <c r="X22" s="404"/>
      <c r="Y22" s="404"/>
      <c r="Z22" s="404"/>
      <c r="AA22" s="404"/>
      <c r="AB22" s="404"/>
      <c r="AC22" s="404"/>
      <c r="AD22" s="404"/>
      <c r="AE22" s="404"/>
      <c r="AF22" s="404"/>
      <c r="AG22" s="404"/>
      <c r="AH22" s="404"/>
      <c r="AI22" s="404"/>
      <c r="AJ22" s="404"/>
      <c r="AK22" s="404"/>
      <c r="AL22" s="412"/>
      <c r="AM22" s="412"/>
      <c r="AN22" s="412"/>
      <c r="AO22" s="421"/>
      <c r="AP22" s="412"/>
      <c r="AQ22" s="404"/>
      <c r="AR22" s="404"/>
      <c r="AS22" s="404"/>
      <c r="AT22" s="404"/>
      <c r="AU22" s="404"/>
      <c r="AV22" s="404"/>
      <c r="AW22" s="404"/>
      <c r="AX22" s="404"/>
      <c r="AY22" s="404"/>
      <c r="AZ22" s="404"/>
      <c r="BA22" s="404"/>
      <c r="BB22" s="404"/>
      <c r="BC22" s="404"/>
      <c r="BD22" s="404"/>
    </row>
    <row r="23" spans="1:56" s="138" customFormat="1" ht="18" customHeight="1" thickBot="1">
      <c r="B23" s="116"/>
      <c r="C23" s="116"/>
      <c r="D23" s="116"/>
      <c r="E23" s="116"/>
      <c r="F23" s="139" t="str">
        <f>IF(F21&gt;500," Vb   ha de ser / must be  &lt; 500 V"," ")</f>
        <v xml:space="preserve"> </v>
      </c>
      <c r="G23" s="140" t="str">
        <f>IF(M21&gt;500,"  Vc   ha de ser / must be   &lt; 500 V"," ")</f>
        <v xml:space="preserve"> </v>
      </c>
      <c r="H23" s="141"/>
      <c r="I23" s="142"/>
      <c r="J23" s="143"/>
      <c r="K23" s="142"/>
      <c r="L23" s="142"/>
      <c r="M23" s="141"/>
      <c r="N23" s="139" t="str">
        <f>IF(M21&lt;F21,"Vc   ha de ser / must be   &gt; Vb"," ")</f>
        <v xml:space="preserve"> </v>
      </c>
      <c r="O23" s="404"/>
      <c r="P23" s="404"/>
      <c r="Q23" s="404"/>
      <c r="R23" s="404"/>
      <c r="S23" s="404"/>
      <c r="T23" s="404"/>
      <c r="U23" s="404"/>
      <c r="V23" s="404"/>
      <c r="W23" s="404"/>
      <c r="X23" s="404"/>
      <c r="Y23" s="404"/>
      <c r="Z23" s="404"/>
      <c r="AA23" s="404"/>
      <c r="AB23" s="404"/>
      <c r="AC23" s="404"/>
      <c r="AD23" s="404"/>
      <c r="AE23" s="404"/>
      <c r="AF23" s="404"/>
      <c r="AG23" s="404"/>
      <c r="AH23" s="404"/>
      <c r="AI23" s="404"/>
      <c r="AJ23" s="404"/>
      <c r="AK23" s="404"/>
      <c r="AL23" s="412"/>
      <c r="AM23" s="412"/>
      <c r="AN23" s="421"/>
      <c r="AO23" s="412"/>
      <c r="AP23" s="404"/>
      <c r="AQ23" s="404"/>
      <c r="AR23" s="404"/>
      <c r="AS23" s="404"/>
      <c r="AT23" s="404"/>
      <c r="AU23" s="404"/>
      <c r="AV23" s="404"/>
      <c r="AW23" s="404"/>
      <c r="AX23" s="404"/>
      <c r="AY23" s="404"/>
      <c r="AZ23" s="404"/>
      <c r="BA23" s="404"/>
      <c r="BB23" s="404"/>
      <c r="BC23" s="404"/>
      <c r="BD23" s="404"/>
    </row>
    <row r="24" spans="1:56" s="138" customFormat="1" ht="18" customHeight="1">
      <c r="B24" s="622" t="s">
        <v>72</v>
      </c>
      <c r="C24" s="623"/>
      <c r="D24" s="623"/>
      <c r="E24" s="623"/>
      <c r="F24" s="579" t="s">
        <v>73</v>
      </c>
      <c r="G24" s="144"/>
      <c r="H24" s="626" t="s">
        <v>74</v>
      </c>
      <c r="I24" s="627"/>
      <c r="J24" s="627"/>
      <c r="K24" s="627"/>
      <c r="L24" s="630">
        <v>0.4</v>
      </c>
      <c r="M24" s="145" t="str">
        <f>IF(L24&gt;80%,"max 80%","")</f>
        <v/>
      </c>
      <c r="N24" s="146"/>
      <c r="O24" s="404"/>
      <c r="P24" s="404"/>
      <c r="Q24" s="404"/>
      <c r="R24" s="404"/>
      <c r="S24" s="404"/>
      <c r="T24" s="404"/>
      <c r="U24" s="404"/>
      <c r="V24" s="404"/>
      <c r="W24" s="404"/>
      <c r="X24" s="404"/>
      <c r="Y24" s="404"/>
      <c r="Z24" s="404"/>
      <c r="AA24" s="404"/>
      <c r="AB24" s="404"/>
      <c r="AC24" s="404"/>
      <c r="AD24" s="404"/>
      <c r="AE24" s="404"/>
      <c r="AF24" s="404"/>
      <c r="AG24" s="404"/>
      <c r="AH24" s="404"/>
      <c r="AI24" s="404"/>
      <c r="AJ24" s="404"/>
      <c r="AK24" s="404"/>
      <c r="AL24" s="412"/>
      <c r="AM24" s="412"/>
      <c r="AN24" s="421"/>
      <c r="AO24" s="412"/>
      <c r="AP24" s="404"/>
      <c r="AQ24" s="404"/>
      <c r="AR24" s="404"/>
      <c r="AS24" s="404"/>
      <c r="AT24" s="404"/>
      <c r="AU24" s="404"/>
      <c r="AV24" s="404"/>
      <c r="AW24" s="404"/>
      <c r="AX24" s="404"/>
      <c r="AY24" s="404"/>
      <c r="AZ24" s="404"/>
      <c r="BA24" s="404"/>
      <c r="BB24" s="404"/>
      <c r="BC24" s="404"/>
      <c r="BD24" s="404"/>
    </row>
    <row r="25" spans="1:56" s="138" customFormat="1" ht="18" customHeight="1" thickBot="1">
      <c r="A25" s="107"/>
      <c r="B25" s="624"/>
      <c r="C25" s="625"/>
      <c r="D25" s="625"/>
      <c r="E25" s="625"/>
      <c r="F25" s="580"/>
      <c r="G25" s="147"/>
      <c r="H25" s="628"/>
      <c r="I25" s="629"/>
      <c r="J25" s="629"/>
      <c r="K25" s="629"/>
      <c r="L25" s="631"/>
      <c r="M25" s="148" t="str">
        <f>IF(L24&lt;20%,"min 20%","")</f>
        <v/>
      </c>
      <c r="N25" s="85"/>
      <c r="O25" s="404"/>
      <c r="P25" s="404"/>
      <c r="Q25" s="404"/>
      <c r="R25" s="404"/>
      <c r="S25" s="404"/>
      <c r="T25" s="404"/>
      <c r="U25" s="404"/>
      <c r="V25" s="404"/>
      <c r="W25" s="404"/>
      <c r="X25" s="404"/>
      <c r="Y25" s="404"/>
      <c r="Z25" s="404"/>
      <c r="AA25" s="404"/>
      <c r="AB25" s="404"/>
      <c r="AC25" s="404"/>
      <c r="AD25" s="404"/>
      <c r="AE25" s="404"/>
      <c r="AF25" s="404"/>
      <c r="AG25" s="404"/>
      <c r="AH25" s="404"/>
      <c r="AI25" s="404"/>
      <c r="AJ25" s="404"/>
      <c r="AK25" s="404"/>
      <c r="AL25" s="412"/>
      <c r="AM25" s="421"/>
      <c r="AN25" s="412"/>
      <c r="AO25" s="404"/>
      <c r="AP25" s="404"/>
      <c r="AQ25" s="404"/>
      <c r="AR25" s="404"/>
      <c r="AS25" s="404"/>
      <c r="AT25" s="404"/>
      <c r="AU25" s="404"/>
      <c r="AV25" s="404"/>
      <c r="AW25" s="404"/>
      <c r="AX25" s="404"/>
      <c r="AY25" s="404"/>
      <c r="AZ25" s="404"/>
      <c r="BA25" s="404"/>
      <c r="BB25" s="404"/>
      <c r="BC25" s="404"/>
      <c r="BD25" s="404"/>
    </row>
    <row r="26" spans="1:56" s="155" customFormat="1" ht="101.25" customHeight="1" thickBot="1">
      <c r="A26" s="149" t="s">
        <v>75</v>
      </c>
      <c r="B26" s="150" t="s">
        <v>76</v>
      </c>
      <c r="C26" s="151" t="s">
        <v>77</v>
      </c>
      <c r="D26" s="150" t="s">
        <v>78</v>
      </c>
      <c r="E26" s="152" t="s">
        <v>79</v>
      </c>
      <c r="F26" s="153" t="s">
        <v>80</v>
      </c>
      <c r="G26" s="151" t="s">
        <v>81</v>
      </c>
      <c r="H26" s="153" t="s">
        <v>76</v>
      </c>
      <c r="I26" s="151" t="s">
        <v>82</v>
      </c>
      <c r="J26" s="150" t="s">
        <v>78</v>
      </c>
      <c r="K26" s="152" t="s">
        <v>79</v>
      </c>
      <c r="L26" s="153" t="s">
        <v>80</v>
      </c>
      <c r="M26" s="151" t="s">
        <v>81</v>
      </c>
      <c r="N26" s="154" t="s">
        <v>83</v>
      </c>
      <c r="O26" s="492" t="s">
        <v>84</v>
      </c>
      <c r="P26" s="492" t="s">
        <v>85</v>
      </c>
      <c r="Q26" s="493" t="s">
        <v>80</v>
      </c>
      <c r="R26" s="494" t="s">
        <v>79</v>
      </c>
      <c r="S26" s="492" t="s">
        <v>86</v>
      </c>
      <c r="T26" s="395"/>
      <c r="U26" s="492" t="s">
        <v>87</v>
      </c>
      <c r="V26" s="492" t="s">
        <v>88</v>
      </c>
      <c r="W26" s="492" t="s">
        <v>89</v>
      </c>
      <c r="X26" s="492" t="s">
        <v>90</v>
      </c>
      <c r="Y26" s="492" t="s">
        <v>91</v>
      </c>
      <c r="Z26" s="492" t="s">
        <v>92</v>
      </c>
      <c r="AA26" s="492" t="s">
        <v>93</v>
      </c>
      <c r="AB26" s="492" t="s">
        <v>94</v>
      </c>
      <c r="AC26" s="492" t="s">
        <v>95</v>
      </c>
      <c r="AD26" s="395" t="s">
        <v>231</v>
      </c>
      <c r="AE26" s="395"/>
      <c r="AF26" s="409"/>
      <c r="AG26" s="409"/>
      <c r="AH26" s="409"/>
      <c r="AI26" s="409"/>
      <c r="AJ26" s="409"/>
      <c r="AK26" s="414"/>
      <c r="AL26" s="413"/>
      <c r="AM26" s="414"/>
      <c r="AN26" s="409"/>
      <c r="AO26" s="409"/>
      <c r="AP26" s="409"/>
      <c r="AQ26" s="409"/>
      <c r="AR26" s="409"/>
      <c r="AS26" s="409"/>
      <c r="AT26" s="409"/>
      <c r="AU26" s="409"/>
      <c r="AV26" s="409"/>
      <c r="AW26" s="409"/>
      <c r="AX26" s="409"/>
      <c r="AY26" s="409"/>
      <c r="AZ26" s="409"/>
      <c r="BA26" s="409"/>
      <c r="BB26" s="409"/>
      <c r="BC26" s="409"/>
      <c r="BD26" s="409"/>
    </row>
    <row r="27" spans="1:56" s="104" customFormat="1" ht="18" customHeight="1">
      <c r="A27" s="458" t="str">
        <f>RESUM!B9</f>
        <v>A61</v>
      </c>
      <c r="B27" s="157">
        <f>RESUM!B11</f>
        <v>705</v>
      </c>
      <c r="C27" s="436">
        <f>RESUM!B15</f>
        <v>82.933161945902029</v>
      </c>
      <c r="D27" s="434">
        <f t="shared" ref="D27:D33" si="0">E27*$B27*PI()/30000</f>
        <v>39.866810774054471</v>
      </c>
      <c r="E27" s="158">
        <f>(F27*120/$F$9-$S27)</f>
        <v>540</v>
      </c>
      <c r="F27" s="159">
        <f t="shared" ref="F27:F40" si="1">$Q27*$F$21/400</f>
        <v>28</v>
      </c>
      <c r="G27" s="160">
        <f t="shared" ref="G27:G33" si="2">IF(AC27&lt;$L$13,AC27,$L$13)</f>
        <v>1969.9354772386559</v>
      </c>
      <c r="H27" s="158">
        <f t="shared" ref="H27:H40" si="3">IF(U27&lt;X27*0.95,U27,X27*0.95)</f>
        <v>1028.6415033447408</v>
      </c>
      <c r="I27" s="436">
        <f>MIN(V27:W27)</f>
        <v>110.03693354239947</v>
      </c>
      <c r="J27" s="438">
        <f t="shared" ref="J27:J40" si="4">MIN(Z27,H27*E27*PI()/30000)</f>
        <v>58.168306621537162</v>
      </c>
      <c r="K27" s="161">
        <f>MIN(E27,M27)</f>
        <v>540</v>
      </c>
      <c r="L27" s="162">
        <f t="shared" ref="L27:L40" si="5">(K27+S27*H27/B27)*$F$9/120</f>
        <v>28.459065962191122</v>
      </c>
      <c r="M27" s="160">
        <f>MIN($L$13,MAX(AB27,AA27))</f>
        <v>1288.5407333676842</v>
      </c>
      <c r="N27" s="439">
        <f>RESUM!B32</f>
        <v>47.379104359497909</v>
      </c>
      <c r="O27" s="495">
        <f>'driving mode parameters'!B18</f>
        <v>0.93115160095468241</v>
      </c>
      <c r="P27" s="495">
        <f>'driving mode parameters'!B17</f>
        <v>0.74514751593675388</v>
      </c>
      <c r="Q27" s="496">
        <f>RESUM!B16</f>
        <v>28</v>
      </c>
      <c r="R27" s="497">
        <f>RESUM!B12</f>
        <v>540</v>
      </c>
      <c r="S27" s="496">
        <f>Q27*120/$F$9-R27</f>
        <v>20</v>
      </c>
      <c r="T27" s="102"/>
      <c r="U27" s="497">
        <f t="shared" ref="U27:U40" si="6">B27/((C27^2-N27^2)^0.5)*(V27^2-N27^2)^0.5</f>
        <v>1028.6415033447408</v>
      </c>
      <c r="V27" s="497">
        <f t="shared" ref="V27:V40" si="7">IF(AND($L$24&gt;=20%,$L$24&lt;=80%)=TRUE,((C27^2*0.9-N27^2*(1-$L$24))/$L$24)^0.5,0)</f>
        <v>110.03693354239947</v>
      </c>
      <c r="W27" s="497">
        <f>(((V27^2-N27^2)^0.5*X27/U27)^2+N27^2)^0.5</f>
        <v>309.45450067699318</v>
      </c>
      <c r="X27" s="497">
        <f>X28</f>
        <v>3167.3633106771249</v>
      </c>
      <c r="Y27" s="497">
        <f t="shared" ref="Y27:Y30" si="8">Y$32*F27/F$32*(B$32/B27)^0.5</f>
        <v>459.53003083740037</v>
      </c>
      <c r="Z27" s="497">
        <f t="shared" ref="Z27:Z40" si="9">X27*Y27*PI()/30000</f>
        <v>152.41945276227997</v>
      </c>
      <c r="AA27" s="497">
        <f>AC27*(D27/J27)^(1/AD27)</f>
        <v>1288.5407333676842</v>
      </c>
      <c r="AB27" s="497">
        <f t="shared" ref="AB27:AB33" si="10">AC27*(B27*E27/AC27/H27)^(1/(1+AD27))</f>
        <v>813.30708998495732</v>
      </c>
      <c r="AC27" s="498">
        <f>0.95*Y27*(Z27/D27)^(1/AD27)</f>
        <v>1969.9354772386559</v>
      </c>
      <c r="AD27" s="102">
        <f>'limit 480V'!Z25</f>
        <v>0.89</v>
      </c>
      <c r="AE27" s="102"/>
      <c r="AF27" s="101"/>
      <c r="AG27" s="101"/>
      <c r="AH27" s="101"/>
      <c r="AI27" s="101"/>
      <c r="AJ27" s="101"/>
      <c r="AK27" s="418"/>
      <c r="AL27" s="418"/>
      <c r="AM27" s="418"/>
      <c r="AN27" s="419"/>
      <c r="AO27" s="418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</row>
    <row r="28" spans="1:56" s="104" customFormat="1" ht="18" customHeight="1">
      <c r="A28" s="458" t="str">
        <f>RESUM!C9</f>
        <v>B61</v>
      </c>
      <c r="B28" s="157">
        <f>RESUM!C11</f>
        <v>705</v>
      </c>
      <c r="C28" s="436">
        <f>RESUM!C15</f>
        <v>99.215176532137278</v>
      </c>
      <c r="D28" s="434">
        <f t="shared" si="0"/>
        <v>48.726102057177691</v>
      </c>
      <c r="E28" s="158">
        <f t="shared" ref="E28:E40" si="11">(F28*120/$F$9-$S28)</f>
        <v>660</v>
      </c>
      <c r="F28" s="159">
        <f t="shared" si="1"/>
        <v>34</v>
      </c>
      <c r="G28" s="160">
        <f t="shared" si="2"/>
        <v>2374.6188435189133</v>
      </c>
      <c r="H28" s="158">
        <f t="shared" si="3"/>
        <v>1030.1526669240857</v>
      </c>
      <c r="I28" s="436">
        <f t="shared" ref="I28:I40" si="12">MIN(V28:W28)</f>
        <v>132.28668625410214</v>
      </c>
      <c r="J28" s="434">
        <f t="shared" si="4"/>
        <v>71.199041110662094</v>
      </c>
      <c r="K28" s="158">
        <f t="shared" ref="K28:K36" si="13">IF(E28&lt;M28,E28,M28)</f>
        <v>660</v>
      </c>
      <c r="L28" s="159">
        <f t="shared" si="5"/>
        <v>34.461209456629909</v>
      </c>
      <c r="M28" s="160">
        <f t="shared" ref="M28:M40" si="14">MIN($L$13,MAX(AB28,AA28))</f>
        <v>1550.6854574668712</v>
      </c>
      <c r="N28" s="440">
        <f>RESUM!C32</f>
        <v>55.668351044921167</v>
      </c>
      <c r="O28" s="495">
        <f>'driving mode parameters'!C18</f>
        <v>0.94113561784735777</v>
      </c>
      <c r="P28" s="495">
        <f>'driving mode parameters'!C17</f>
        <v>0.75320073041481272</v>
      </c>
      <c r="Q28" s="496">
        <f>RESUM!C16</f>
        <v>34</v>
      </c>
      <c r="R28" s="497">
        <f>RESUM!C12</f>
        <v>660</v>
      </c>
      <c r="S28" s="496">
        <f t="shared" ref="S28:S40" si="15">Q28*120/$F$9-R28</f>
        <v>20</v>
      </c>
      <c r="T28" s="102"/>
      <c r="U28" s="497">
        <f t="shared" si="6"/>
        <v>1030.1526669240857</v>
      </c>
      <c r="V28" s="497">
        <f t="shared" si="7"/>
        <v>132.28668625410214</v>
      </c>
      <c r="W28" s="497">
        <f t="shared" ref="W28:W40" si="16">(((V28^2-N28^2)^0.5*X28/U28)^2+N28^2)^0.5</f>
        <v>373.14465376136121</v>
      </c>
      <c r="X28" s="497">
        <f>X29</f>
        <v>3167.3633106771249</v>
      </c>
      <c r="Y28" s="497">
        <f t="shared" si="8"/>
        <v>558.00075173112896</v>
      </c>
      <c r="Z28" s="497">
        <f t="shared" si="9"/>
        <v>185.08076406848278</v>
      </c>
      <c r="AA28" s="497">
        <f t="shared" ref="AA28:AA40" si="17">AC28*(D28/J28)^(1/AD28)</f>
        <v>1550.6854574668712</v>
      </c>
      <c r="AB28" s="497">
        <f t="shared" si="10"/>
        <v>986.82039569498818</v>
      </c>
      <c r="AC28" s="498">
        <f t="shared" ref="AC28:AC40" si="18">0.95*Y28*(Z28/D28)^(1/AD28)</f>
        <v>2374.6188435189133</v>
      </c>
      <c r="AD28" s="102">
        <f>AD27</f>
        <v>0.89</v>
      </c>
      <c r="AE28" s="102"/>
      <c r="AF28" s="101"/>
      <c r="AG28" s="101"/>
      <c r="AH28" s="101"/>
      <c r="AI28" s="101"/>
      <c r="AJ28" s="101"/>
      <c r="AK28" s="418"/>
      <c r="AL28" s="418"/>
      <c r="AM28" s="418"/>
      <c r="AN28" s="419"/>
      <c r="AO28" s="418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</row>
    <row r="29" spans="1:56" s="104" customFormat="1" ht="18" customHeight="1">
      <c r="A29" s="458" t="str">
        <f>RESUM!D9</f>
        <v>C61</v>
      </c>
      <c r="B29" s="157">
        <f>RESUM!D11</f>
        <v>705</v>
      </c>
      <c r="C29" s="436">
        <f>RESUM!D15</f>
        <v>114.22319796676634</v>
      </c>
      <c r="D29" s="434">
        <f t="shared" si="0"/>
        <v>57.585393340300911</v>
      </c>
      <c r="E29" s="158">
        <f t="shared" si="11"/>
        <v>780</v>
      </c>
      <c r="F29" s="159">
        <f t="shared" si="1"/>
        <v>40</v>
      </c>
      <c r="G29" s="160">
        <f t="shared" si="2"/>
        <v>2779.4697919829837</v>
      </c>
      <c r="H29" s="158">
        <f t="shared" si="3"/>
        <v>1032.9767668686852</v>
      </c>
      <c r="I29" s="436">
        <f t="shared" si="12"/>
        <v>153.7517710276617</v>
      </c>
      <c r="J29" s="434">
        <f t="shared" si="4"/>
        <v>84.374997775213544</v>
      </c>
      <c r="K29" s="158">
        <f t="shared" si="13"/>
        <v>780</v>
      </c>
      <c r="L29" s="159">
        <f t="shared" si="5"/>
        <v>40.465215272154168</v>
      </c>
      <c r="M29" s="160">
        <f t="shared" si="14"/>
        <v>1809.4885930879291</v>
      </c>
      <c r="N29" s="440">
        <f>RESUM!D32</f>
        <v>61.730627470251463</v>
      </c>
      <c r="O29" s="495">
        <f>'driving mode parameters'!D18</f>
        <v>0.94791987304804703</v>
      </c>
      <c r="P29" s="495">
        <f>'driving mode parameters'!D17</f>
        <v>0.76765445650204167</v>
      </c>
      <c r="Q29" s="496">
        <f>RESUM!D16</f>
        <v>40</v>
      </c>
      <c r="R29" s="497">
        <f>RESUM!D12</f>
        <v>780</v>
      </c>
      <c r="S29" s="496">
        <f t="shared" si="15"/>
        <v>20</v>
      </c>
      <c r="T29" s="102"/>
      <c r="U29" s="497">
        <f t="shared" si="6"/>
        <v>1032.9767668686852</v>
      </c>
      <c r="V29" s="497">
        <f t="shared" si="7"/>
        <v>153.7517710276617</v>
      </c>
      <c r="W29" s="497">
        <f t="shared" si="16"/>
        <v>436.1650301056012</v>
      </c>
      <c r="X29" s="497">
        <f>X30</f>
        <v>3167.3633106771249</v>
      </c>
      <c r="Y29" s="497">
        <f t="shared" si="8"/>
        <v>656.47147262485771</v>
      </c>
      <c r="Z29" s="497">
        <f t="shared" si="9"/>
        <v>217.74207537468567</v>
      </c>
      <c r="AA29" s="497">
        <f t="shared" si="17"/>
        <v>1809.4885930879291</v>
      </c>
      <c r="AB29" s="497">
        <f t="shared" si="10"/>
        <v>1159.284716979864</v>
      </c>
      <c r="AC29" s="498">
        <f t="shared" si="18"/>
        <v>2779.4697919829837</v>
      </c>
      <c r="AD29" s="102">
        <f t="shared" ref="AD29:AD40" si="19">AD28</f>
        <v>0.89</v>
      </c>
      <c r="AE29" s="102"/>
      <c r="AF29" s="101"/>
      <c r="AG29" s="101"/>
      <c r="AH29" s="101"/>
      <c r="AI29" s="101"/>
      <c r="AJ29" s="101"/>
      <c r="AK29" s="418"/>
      <c r="AL29" s="418"/>
      <c r="AM29" s="418"/>
      <c r="AN29" s="419"/>
      <c r="AO29" s="418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  <c r="BB29" s="101"/>
      <c r="BC29" s="101"/>
      <c r="BD29" s="101"/>
    </row>
    <row r="30" spans="1:56" s="104" customFormat="1" ht="18" customHeight="1">
      <c r="A30" s="458" t="str">
        <f>RESUM!E9</f>
        <v>D61</v>
      </c>
      <c r="B30" s="157">
        <f>RESUM!E11</f>
        <v>705</v>
      </c>
      <c r="C30" s="436">
        <f>RESUM!E15</f>
        <v>134.94616792452854</v>
      </c>
      <c r="D30" s="434">
        <f t="shared" si="0"/>
        <v>67.92123317061133</v>
      </c>
      <c r="E30" s="158">
        <f t="shared" si="11"/>
        <v>920</v>
      </c>
      <c r="F30" s="159">
        <f t="shared" si="1"/>
        <v>47</v>
      </c>
      <c r="G30" s="160">
        <f t="shared" si="2"/>
        <v>3251.9201428553238</v>
      </c>
      <c r="H30" s="158">
        <f t="shared" si="3"/>
        <v>1031.6689585542772</v>
      </c>
      <c r="I30" s="436">
        <f t="shared" si="12"/>
        <v>180.83798140312797</v>
      </c>
      <c r="J30" s="434">
        <f t="shared" si="4"/>
        <v>99.393231048009667</v>
      </c>
      <c r="K30" s="158">
        <f t="shared" si="13"/>
        <v>920</v>
      </c>
      <c r="L30" s="159">
        <f t="shared" si="5"/>
        <v>47.463360224899688</v>
      </c>
      <c r="M30" s="160">
        <f t="shared" si="14"/>
        <v>2120.0785631907511</v>
      </c>
      <c r="N30" s="440">
        <f>RESUM!E32</f>
        <v>74.257111966692307</v>
      </c>
      <c r="O30" s="495">
        <f>'driving mode parameters'!E18</f>
        <v>0.95367833872315799</v>
      </c>
      <c r="P30" s="495">
        <f>'driving mode parameters'!E17</f>
        <v>0.76176755050776035</v>
      </c>
      <c r="Q30" s="496">
        <f>RESUM!E16</f>
        <v>47</v>
      </c>
      <c r="R30" s="497">
        <f>RESUM!E12</f>
        <v>920</v>
      </c>
      <c r="S30" s="496">
        <f t="shared" si="15"/>
        <v>20</v>
      </c>
      <c r="T30" s="102"/>
      <c r="U30" s="497">
        <f t="shared" si="6"/>
        <v>1031.6689585542772</v>
      </c>
      <c r="V30" s="497">
        <f t="shared" si="7"/>
        <v>180.83798140312797</v>
      </c>
      <c r="W30" s="497">
        <f t="shared" si="16"/>
        <v>511.64764363325702</v>
      </c>
      <c r="X30" s="497">
        <f>X31</f>
        <v>3167.3633106771249</v>
      </c>
      <c r="Y30" s="497">
        <f t="shared" si="8"/>
        <v>771.35398033420779</v>
      </c>
      <c r="Z30" s="497">
        <f t="shared" si="9"/>
        <v>255.84693856525564</v>
      </c>
      <c r="AA30" s="497">
        <f t="shared" si="17"/>
        <v>2120.0785631907511</v>
      </c>
      <c r="AB30" s="497">
        <f t="shared" si="10"/>
        <v>1363.0728989864745</v>
      </c>
      <c r="AC30" s="498">
        <f t="shared" si="18"/>
        <v>3251.9201428553238</v>
      </c>
      <c r="AD30" s="102">
        <f t="shared" si="19"/>
        <v>0.89</v>
      </c>
      <c r="AE30" s="102"/>
      <c r="AF30" s="101"/>
      <c r="AG30" s="101"/>
      <c r="AH30" s="101"/>
      <c r="AI30" s="101"/>
      <c r="AJ30" s="101"/>
      <c r="AK30" s="418"/>
      <c r="AL30" s="418"/>
      <c r="AM30" s="418"/>
      <c r="AN30" s="419"/>
      <c r="AO30" s="418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</row>
    <row r="31" spans="1:56" s="104" customFormat="1" ht="18" customHeight="1">
      <c r="A31" s="458" t="str">
        <f>RESUM!F9</f>
        <v>E61</v>
      </c>
      <c r="B31" s="157">
        <f>RESUM!F11</f>
        <v>705</v>
      </c>
      <c r="C31" s="436">
        <f>RESUM!F15</f>
        <v>164.80704828666907</v>
      </c>
      <c r="D31" s="434">
        <f t="shared" si="0"/>
        <v>84.163267189670549</v>
      </c>
      <c r="E31" s="158">
        <f t="shared" si="11"/>
        <v>1140</v>
      </c>
      <c r="F31" s="159">
        <f t="shared" si="1"/>
        <v>58</v>
      </c>
      <c r="G31" s="160">
        <f t="shared" si="2"/>
        <v>3994.4985515132762</v>
      </c>
      <c r="H31" s="158">
        <f t="shared" si="3"/>
        <v>1032.8652841956548</v>
      </c>
      <c r="I31" s="436">
        <f t="shared" si="12"/>
        <v>221.7556854881496</v>
      </c>
      <c r="J31" s="434">
        <f t="shared" si="4"/>
        <v>123.30399558112612</v>
      </c>
      <c r="K31" s="158">
        <f t="shared" si="13"/>
        <v>1140</v>
      </c>
      <c r="L31" s="159">
        <f t="shared" si="5"/>
        <v>58.46505714070306</v>
      </c>
      <c r="M31" s="160">
        <f t="shared" si="14"/>
        <v>2600.8111947336101</v>
      </c>
      <c r="N31" s="440">
        <f>RESUM!F32</f>
        <v>89.209428032583105</v>
      </c>
      <c r="O31" s="495">
        <f>'driving mode parameters'!F18</f>
        <v>0.95942955319216916</v>
      </c>
      <c r="P31" s="495">
        <f>'driving mode parameters'!F17</f>
        <v>0.76826861967705773</v>
      </c>
      <c r="Q31" s="496">
        <f>RESUM!F16</f>
        <v>58</v>
      </c>
      <c r="R31" s="497">
        <f>RESUM!F12</f>
        <v>1140</v>
      </c>
      <c r="S31" s="496">
        <f t="shared" si="15"/>
        <v>20</v>
      </c>
      <c r="T31" s="102"/>
      <c r="U31" s="497">
        <f t="shared" si="6"/>
        <v>1032.8652841956548</v>
      </c>
      <c r="V31" s="497">
        <f t="shared" si="7"/>
        <v>221.7556854881496</v>
      </c>
      <c r="W31" s="497">
        <f t="shared" si="16"/>
        <v>628.93695176974268</v>
      </c>
      <c r="X31" s="497">
        <f>X32</f>
        <v>3167.3633106771249</v>
      </c>
      <c r="Y31" s="497">
        <f>Y$32*F31/F$32*(B$32/B31)^0.5</f>
        <v>951.88363530604352</v>
      </c>
      <c r="Z31" s="497">
        <f t="shared" si="9"/>
        <v>315.72600929329411</v>
      </c>
      <c r="AA31" s="497">
        <f t="shared" si="17"/>
        <v>2600.8111947336101</v>
      </c>
      <c r="AB31" s="497">
        <f t="shared" si="10"/>
        <v>1681.0588346986019</v>
      </c>
      <c r="AC31" s="498">
        <f t="shared" si="18"/>
        <v>3994.4985515132762</v>
      </c>
      <c r="AD31" s="102">
        <f t="shared" si="19"/>
        <v>0.89</v>
      </c>
      <c r="AE31" s="102"/>
      <c r="AF31" s="101"/>
      <c r="AG31" s="101"/>
      <c r="AH31" s="101"/>
      <c r="AI31" s="101"/>
      <c r="AJ31" s="101"/>
      <c r="AK31" s="418"/>
      <c r="AL31" s="418"/>
      <c r="AM31" s="418"/>
      <c r="AN31" s="419"/>
      <c r="AO31" s="418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</row>
    <row r="32" spans="1:56" s="104" customFormat="1" ht="18" customHeight="1">
      <c r="A32" s="458" t="str">
        <f>RESUM!G9</f>
        <v>F61</v>
      </c>
      <c r="B32" s="157">
        <f>RESUM!G11</f>
        <v>705</v>
      </c>
      <c r="C32" s="436">
        <f>RESUM!G15</f>
        <v>185.40753107296055</v>
      </c>
      <c r="D32" s="434">
        <f t="shared" si="0"/>
        <v>94.499107019980983</v>
      </c>
      <c r="E32" s="158">
        <f t="shared" si="11"/>
        <v>1280</v>
      </c>
      <c r="F32" s="159">
        <f t="shared" si="1"/>
        <v>65</v>
      </c>
      <c r="G32" s="160">
        <f t="shared" si="2"/>
        <v>4000</v>
      </c>
      <c r="H32" s="158">
        <f t="shared" si="3"/>
        <v>1032.0987366321488</v>
      </c>
      <c r="I32" s="436">
        <f t="shared" si="12"/>
        <v>248.82157786059599</v>
      </c>
      <c r="J32" s="434">
        <f t="shared" si="4"/>
        <v>138.34384250806892</v>
      </c>
      <c r="K32" s="158">
        <f>IF($E$32&lt;$M$32,$E$32,$M$32)</f>
        <v>1280</v>
      </c>
      <c r="L32" s="159">
        <f t="shared" si="5"/>
        <v>65.463969839194533</v>
      </c>
      <c r="M32" s="160">
        <f t="shared" si="14"/>
        <v>2910.954392137297</v>
      </c>
      <c r="N32" s="440">
        <f>RESUM!G32</f>
        <v>101.43541686790246</v>
      </c>
      <c r="O32" s="495">
        <f>'driving mode parameters'!G18</f>
        <v>0.9619126130372837</v>
      </c>
      <c r="P32" s="495">
        <f>'driving mode parameters'!G17</f>
        <v>0.76479333710399122</v>
      </c>
      <c r="Q32" s="496">
        <f>RESUM!G16</f>
        <v>65</v>
      </c>
      <c r="R32" s="497">
        <f>RESUM!G12</f>
        <v>1280</v>
      </c>
      <c r="S32" s="496">
        <f t="shared" si="15"/>
        <v>20</v>
      </c>
      <c r="T32" s="102"/>
      <c r="U32" s="497">
        <f t="shared" si="6"/>
        <v>1032.0987366321488</v>
      </c>
      <c r="V32" s="497">
        <f t="shared" si="7"/>
        <v>248.82157786059599</v>
      </c>
      <c r="W32" s="497">
        <f t="shared" si="16"/>
        <v>704.60543122776073</v>
      </c>
      <c r="X32" s="497">
        <f>'limit 480V'!K27*0.95</f>
        <v>3167.3633106771249</v>
      </c>
      <c r="Y32" s="497">
        <f>'limit 480V'!I27/'limit 480V'!Y27*M21</f>
        <v>1066.7661430153937</v>
      </c>
      <c r="Z32" s="497">
        <f t="shared" si="9"/>
        <v>353.8308724838642</v>
      </c>
      <c r="AA32" s="497">
        <f t="shared" si="17"/>
        <v>2910.954392137297</v>
      </c>
      <c r="AB32" s="497">
        <f t="shared" si="10"/>
        <v>1884.6854446383772</v>
      </c>
      <c r="AC32" s="498">
        <f>0.95*Y32*(Z32/D32)^(1/AD32)</f>
        <v>4467.1090839665094</v>
      </c>
      <c r="AD32" s="102">
        <f t="shared" si="19"/>
        <v>0.89</v>
      </c>
      <c r="AE32" s="102">
        <f>AB32*(J32/D32)^(1/2/AD32)</f>
        <v>2334.7181250507169</v>
      </c>
      <c r="AF32" s="101"/>
      <c r="AG32" s="101"/>
      <c r="AH32" s="101"/>
      <c r="AI32" s="101"/>
      <c r="AJ32" s="101"/>
      <c r="AK32" s="418"/>
      <c r="AL32" s="418"/>
      <c r="AM32" s="418"/>
      <c r="AN32" s="419"/>
      <c r="AO32" s="418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</row>
    <row r="33" spans="1:60" s="104" customFormat="1" ht="18" customHeight="1">
      <c r="A33" s="458" t="str">
        <f>RESUM!H9</f>
        <v>G61</v>
      </c>
      <c r="B33" s="157">
        <f>RESUM!H11</f>
        <v>705</v>
      </c>
      <c r="C33" s="436">
        <f>RESUM!H15</f>
        <v>211.95146878333776</v>
      </c>
      <c r="D33" s="434">
        <f t="shared" si="0"/>
        <v>107.7880439446658</v>
      </c>
      <c r="E33" s="158">
        <f t="shared" si="11"/>
        <v>1460</v>
      </c>
      <c r="F33" s="159">
        <f t="shared" si="1"/>
        <v>74</v>
      </c>
      <c r="G33" s="160">
        <f t="shared" si="2"/>
        <v>4000</v>
      </c>
      <c r="H33" s="158">
        <f t="shared" si="3"/>
        <v>1031.2721553654512</v>
      </c>
      <c r="I33" s="436">
        <f t="shared" si="12"/>
        <v>283.65247830639538</v>
      </c>
      <c r="J33" s="434">
        <f t="shared" si="4"/>
        <v>157.67206865452692</v>
      </c>
      <c r="K33" s="158">
        <f t="shared" si="13"/>
        <v>1460</v>
      </c>
      <c r="L33" s="159">
        <f t="shared" si="5"/>
        <v>74.46279738349709</v>
      </c>
      <c r="M33" s="160">
        <f t="shared" si="14"/>
        <v>3309.9260737272184</v>
      </c>
      <c r="N33" s="440">
        <f>RESUM!H32</f>
        <v>117.24327434675257</v>
      </c>
      <c r="O33" s="495">
        <f>'driving mode parameters'!H18</f>
        <v>0.96453520039930085</v>
      </c>
      <c r="P33" s="495">
        <f>'driving mode parameters'!H17</f>
        <v>0.76101893014296074</v>
      </c>
      <c r="Q33" s="496">
        <f>RESUM!H16</f>
        <v>74</v>
      </c>
      <c r="R33" s="497">
        <f>RESUM!H12</f>
        <v>1460</v>
      </c>
      <c r="S33" s="496">
        <f t="shared" si="15"/>
        <v>20</v>
      </c>
      <c r="T33" s="102"/>
      <c r="U33" s="497">
        <f t="shared" si="6"/>
        <v>1031.2721553654512</v>
      </c>
      <c r="V33" s="497">
        <f t="shared" si="7"/>
        <v>283.65247830639538</v>
      </c>
      <c r="W33" s="497">
        <f t="shared" si="16"/>
        <v>801.90170356764042</v>
      </c>
      <c r="X33" s="497">
        <f t="shared" ref="X33:X40" si="20">X32</f>
        <v>3167.3633106771249</v>
      </c>
      <c r="Y33" s="497">
        <f t="shared" ref="Y33:Y40" si="21">Y$32*F33/F$32*(B$32/B33)^0.5</f>
        <v>1214.4722243559868</v>
      </c>
      <c r="Z33" s="497">
        <f t="shared" si="9"/>
        <v>402.8228394431685</v>
      </c>
      <c r="AA33" s="497">
        <f t="shared" si="17"/>
        <v>3309.9260737272184</v>
      </c>
      <c r="AB33" s="497">
        <f t="shared" si="10"/>
        <v>2146.5516485772137</v>
      </c>
      <c r="AC33" s="498">
        <f t="shared" si="18"/>
        <v>5074.7948503392108</v>
      </c>
      <c r="AD33" s="102">
        <f t="shared" si="19"/>
        <v>0.89</v>
      </c>
      <c r="AE33" s="102"/>
      <c r="AF33" s="101"/>
      <c r="AG33" s="101"/>
      <c r="AH33" s="101"/>
      <c r="AI33" s="101"/>
      <c r="AJ33" s="101"/>
      <c r="AK33" s="418"/>
      <c r="AL33" s="418"/>
      <c r="AM33" s="418"/>
      <c r="AN33" s="419"/>
      <c r="AO33" s="418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</row>
    <row r="34" spans="1:60" s="102" customFormat="1" ht="18" customHeight="1">
      <c r="A34" s="475" t="str">
        <f>RESUM!I9</f>
        <v>H61</v>
      </c>
      <c r="B34" s="468">
        <f>RESUM!I11</f>
        <v>705</v>
      </c>
      <c r="C34" s="469">
        <f>RESUM!I15</f>
        <v>247.42495234684944</v>
      </c>
      <c r="D34" s="470">
        <f>E34*$B34*PI()/30000</f>
        <v>125.50662651091224</v>
      </c>
      <c r="E34" s="471">
        <f t="shared" si="11"/>
        <v>1700</v>
      </c>
      <c r="F34" s="472">
        <f t="shared" si="1"/>
        <v>86</v>
      </c>
      <c r="G34" s="473">
        <f>IF(AC34&lt;$L$13,AC34,$L$13)</f>
        <v>4000</v>
      </c>
      <c r="H34" s="471">
        <f t="shared" si="3"/>
        <v>1030.4449043341901</v>
      </c>
      <c r="I34" s="469">
        <f t="shared" si="12"/>
        <v>330.21695705031459</v>
      </c>
      <c r="J34" s="470">
        <f t="shared" si="4"/>
        <v>183.44349467850196</v>
      </c>
      <c r="K34" s="471">
        <f t="shared" si="13"/>
        <v>1700</v>
      </c>
      <c r="L34" s="472">
        <f t="shared" si="5"/>
        <v>86.461623977778999</v>
      </c>
      <c r="M34" s="473">
        <f t="shared" si="14"/>
        <v>3841.8887110526393</v>
      </c>
      <c r="N34" s="474">
        <f>RESUM!I32</f>
        <v>138.32269547468172</v>
      </c>
      <c r="O34" s="495">
        <f>'driving mode parameters'!I18</f>
        <v>0.96669456758266437</v>
      </c>
      <c r="P34" s="495">
        <f>'driving mode parameters'!I17</f>
        <v>0.75737900895404731</v>
      </c>
      <c r="Q34" s="496">
        <f>RESUM!I16</f>
        <v>86</v>
      </c>
      <c r="R34" s="497">
        <f>RESUM!I12</f>
        <v>1700</v>
      </c>
      <c r="S34" s="496">
        <f t="shared" si="15"/>
        <v>20</v>
      </c>
      <c r="U34" s="497">
        <f t="shared" si="6"/>
        <v>1030.4449043341901</v>
      </c>
      <c r="V34" s="497">
        <f t="shared" si="7"/>
        <v>330.21695705031459</v>
      </c>
      <c r="W34" s="497">
        <f t="shared" si="16"/>
        <v>931.99564967666049</v>
      </c>
      <c r="X34" s="497">
        <f t="shared" si="20"/>
        <v>3167.3633106771249</v>
      </c>
      <c r="Y34" s="497">
        <f t="shared" si="21"/>
        <v>1411.4136661434441</v>
      </c>
      <c r="Z34" s="497">
        <f t="shared" si="9"/>
        <v>468.14546205557417</v>
      </c>
      <c r="AA34" s="497">
        <f t="shared" si="17"/>
        <v>3841.8887110526393</v>
      </c>
      <c r="AB34" s="497">
        <f>AC34*(B34*E34/AC34/H34)^(1/(1+AD34))</f>
        <v>2495.7005460272994</v>
      </c>
      <c r="AC34" s="498">
        <f t="shared" si="18"/>
        <v>5885.0937551525467</v>
      </c>
      <c r="AD34" s="102">
        <f t="shared" si="19"/>
        <v>0.89</v>
      </c>
      <c r="AF34" s="101"/>
      <c r="AG34" s="101"/>
      <c r="AH34" s="101"/>
      <c r="AI34" s="101"/>
      <c r="AJ34" s="101"/>
      <c r="AK34" s="418"/>
      <c r="AL34" s="418"/>
      <c r="AM34" s="418"/>
      <c r="AN34" s="419"/>
      <c r="AO34" s="418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</row>
    <row r="35" spans="1:60" s="101" customFormat="1" ht="18" customHeight="1">
      <c r="A35" s="475" t="str">
        <f>RESUM!J9</f>
        <v>E62</v>
      </c>
      <c r="B35" s="468">
        <f>RESUM!J11</f>
        <v>650</v>
      </c>
      <c r="C35" s="469">
        <f>RESUM!J15</f>
        <v>270.17449759708887</v>
      </c>
      <c r="D35" s="470">
        <f>E35*$B35*PI()/30000</f>
        <v>137.94192987976365</v>
      </c>
      <c r="E35" s="471">
        <f t="shared" si="11"/>
        <v>2026.5360000000001</v>
      </c>
      <c r="F35" s="472">
        <f t="shared" si="1"/>
        <v>102</v>
      </c>
      <c r="G35" s="473">
        <f t="shared" ref="G35:G40" si="22">IF(AC35&lt;$L$13,AC35,$L$13)</f>
        <v>4000</v>
      </c>
      <c r="H35" s="471">
        <f t="shared" si="3"/>
        <v>949.27127779891418</v>
      </c>
      <c r="I35" s="469">
        <f t="shared" si="12"/>
        <v>359.57517926251217</v>
      </c>
      <c r="J35" s="470">
        <f t="shared" si="4"/>
        <v>201.45278775232535</v>
      </c>
      <c r="K35" s="471">
        <f t="shared" si="13"/>
        <v>2026.5360000000001</v>
      </c>
      <c r="L35" s="472">
        <f t="shared" si="5"/>
        <v>102.30995296032958</v>
      </c>
      <c r="M35" s="473">
        <f t="shared" si="14"/>
        <v>4000</v>
      </c>
      <c r="N35" s="474">
        <f>RESUM!J32</f>
        <v>152.62759372619101</v>
      </c>
      <c r="O35" s="495">
        <f>'driving mode parameters'!J18</f>
        <v>0.96878348129777081</v>
      </c>
      <c r="P35" s="495">
        <f>'driving mode parameters'!J17</f>
        <v>0.76068456028514519</v>
      </c>
      <c r="Q35" s="496">
        <f>RESUM!J16</f>
        <v>102</v>
      </c>
      <c r="R35" s="497">
        <f>RESUM!J12</f>
        <v>2026.5360000000001</v>
      </c>
      <c r="S35" s="496">
        <f t="shared" si="15"/>
        <v>13.463999999999942</v>
      </c>
      <c r="T35" s="102"/>
      <c r="U35" s="497">
        <f t="shared" si="6"/>
        <v>949.27127779891418</v>
      </c>
      <c r="V35" s="497">
        <f t="shared" si="7"/>
        <v>359.57517926251217</v>
      </c>
      <c r="W35" s="497">
        <f t="shared" si="16"/>
        <v>1096.9919200231695</v>
      </c>
      <c r="X35" s="497">
        <f t="shared" si="20"/>
        <v>3167.3633106771249</v>
      </c>
      <c r="Y35" s="497">
        <f t="shared" si="21"/>
        <v>1743.3874643378554</v>
      </c>
      <c r="Z35" s="497">
        <f t="shared" si="9"/>
        <v>578.25636070565974</v>
      </c>
      <c r="AA35" s="497">
        <f t="shared" si="17"/>
        <v>5415.8280733563124</v>
      </c>
      <c r="AB35" s="497">
        <f>AC35*(B35*E35/AC35/H35)^(1/(1+AD35))</f>
        <v>3219.4840165538699</v>
      </c>
      <c r="AC35" s="498">
        <f t="shared" si="18"/>
        <v>8288.3955531897063</v>
      </c>
      <c r="AD35" s="102">
        <f t="shared" si="19"/>
        <v>0.89</v>
      </c>
      <c r="AE35" s="102"/>
      <c r="AK35" s="418"/>
      <c r="AL35" s="418"/>
      <c r="AM35" s="418"/>
      <c r="AN35" s="419"/>
      <c r="AO35" s="418"/>
    </row>
    <row r="36" spans="1:60" s="101" customFormat="1" ht="18" customHeight="1">
      <c r="A36" s="475" t="str">
        <f>RESUM!K9</f>
        <v>F62</v>
      </c>
      <c r="B36" s="468">
        <f>RESUM!K11</f>
        <v>600</v>
      </c>
      <c r="C36" s="469">
        <f>RESUM!K15</f>
        <v>288.62162127015864</v>
      </c>
      <c r="D36" s="470">
        <f>E36*$B36*PI()/30000</f>
        <v>143.73289044997881</v>
      </c>
      <c r="E36" s="471">
        <f t="shared" si="11"/>
        <v>2287.5800000000004</v>
      </c>
      <c r="F36" s="472">
        <f t="shared" si="1"/>
        <v>115</v>
      </c>
      <c r="G36" s="473">
        <f t="shared" si="22"/>
        <v>4000</v>
      </c>
      <c r="H36" s="471">
        <f t="shared" si="3"/>
        <v>872.24221423183826</v>
      </c>
      <c r="I36" s="469">
        <f t="shared" si="12"/>
        <v>378.50970393792278</v>
      </c>
      <c r="J36" s="470">
        <f t="shared" si="4"/>
        <v>208.94982437338626</v>
      </c>
      <c r="K36" s="471">
        <f t="shared" si="13"/>
        <v>2287.5800000000004</v>
      </c>
      <c r="L36" s="472">
        <f t="shared" si="5"/>
        <v>115.28177069172993</v>
      </c>
      <c r="M36" s="473">
        <f t="shared" si="14"/>
        <v>4000</v>
      </c>
      <c r="N36" s="474">
        <f>RESUM!K32</f>
        <v>171.58262270251331</v>
      </c>
      <c r="O36" s="495">
        <f>'driving mode parameters'!K18</f>
        <v>0.96891187214346541</v>
      </c>
      <c r="P36" s="495">
        <f>'driving mode parameters'!K17</f>
        <v>0.7418607620222164</v>
      </c>
      <c r="Q36" s="496">
        <f>RESUM!K16</f>
        <v>115</v>
      </c>
      <c r="R36" s="497">
        <f>RESUM!K12</f>
        <v>2287.5800000000004</v>
      </c>
      <c r="S36" s="496">
        <f t="shared" si="15"/>
        <v>12.419999999999618</v>
      </c>
      <c r="T36" s="102"/>
      <c r="U36" s="497">
        <f t="shared" si="6"/>
        <v>872.24221423183826</v>
      </c>
      <c r="V36" s="497">
        <f t="shared" si="7"/>
        <v>378.50970393792278</v>
      </c>
      <c r="W36" s="497">
        <f t="shared" si="16"/>
        <v>1237.1010966335375</v>
      </c>
      <c r="X36" s="497">
        <f t="shared" si="20"/>
        <v>3167.3633106771249</v>
      </c>
      <c r="Y36" s="497">
        <f t="shared" si="21"/>
        <v>2045.8445929748661</v>
      </c>
      <c r="Z36" s="497">
        <f t="shared" si="9"/>
        <v>678.5770077521546</v>
      </c>
      <c r="AA36" s="497">
        <f t="shared" si="17"/>
        <v>7300.9527522887056</v>
      </c>
      <c r="AB36" s="497">
        <f>AC36*(B36*E36/AC36/H36)^(1/(1+AD36))</f>
        <v>3951.0375145699518</v>
      </c>
      <c r="AC36" s="498">
        <f t="shared" si="18"/>
        <v>11115.983924428261</v>
      </c>
      <c r="AD36" s="102">
        <f t="shared" si="19"/>
        <v>0.89</v>
      </c>
      <c r="AE36" s="102"/>
      <c r="AK36" s="418"/>
      <c r="AL36" s="418"/>
      <c r="AM36" s="418"/>
      <c r="AN36" s="419"/>
      <c r="AO36" s="418"/>
    </row>
    <row r="37" spans="1:60" s="101" customFormat="1" ht="18" customHeight="1">
      <c r="A37" s="475">
        <f>RESUM!L9</f>
        <v>0</v>
      </c>
      <c r="B37" s="468">
        <f>RESUM!L11</f>
        <v>0</v>
      </c>
      <c r="C37" s="469">
        <f>RESUM!L15</f>
        <v>0</v>
      </c>
      <c r="D37" s="470">
        <f>E37*$B37*PI()/30000</f>
        <v>0</v>
      </c>
      <c r="E37" s="471">
        <f t="shared" si="11"/>
        <v>0</v>
      </c>
      <c r="F37" s="472">
        <f t="shared" si="1"/>
        <v>0</v>
      </c>
      <c r="G37" s="473" t="e">
        <f t="shared" si="22"/>
        <v>#DIV/0!</v>
      </c>
      <c r="H37" s="471" t="e">
        <f t="shared" si="3"/>
        <v>#DIV/0!</v>
      </c>
      <c r="I37" s="469" t="e">
        <f t="shared" si="12"/>
        <v>#DIV/0!</v>
      </c>
      <c r="J37" s="470" t="e">
        <f t="shared" si="4"/>
        <v>#DIV/0!</v>
      </c>
      <c r="K37" s="471" t="e">
        <f>IF(E37&lt;M37,E37,M37)</f>
        <v>#DIV/0!</v>
      </c>
      <c r="L37" s="472" t="e">
        <f t="shared" si="5"/>
        <v>#DIV/0!</v>
      </c>
      <c r="M37" s="473" t="e">
        <f t="shared" si="14"/>
        <v>#DIV/0!</v>
      </c>
      <c r="N37" s="474">
        <f>RESUM!L32</f>
        <v>0</v>
      </c>
      <c r="O37" s="495" t="e">
        <f>'driving mode parameters'!L18</f>
        <v>#DIV/0!</v>
      </c>
      <c r="P37" s="495" t="e">
        <f>'driving mode parameters'!L17</f>
        <v>#DIV/0!</v>
      </c>
      <c r="Q37" s="496">
        <f>RESUM!L16</f>
        <v>0</v>
      </c>
      <c r="R37" s="497">
        <f>RESUM!L12</f>
        <v>0</v>
      </c>
      <c r="S37" s="496">
        <f t="shared" si="15"/>
        <v>0</v>
      </c>
      <c r="T37" s="102"/>
      <c r="U37" s="497" t="e">
        <f t="shared" si="6"/>
        <v>#DIV/0!</v>
      </c>
      <c r="V37" s="497">
        <f t="shared" si="7"/>
        <v>0</v>
      </c>
      <c r="W37" s="497" t="e">
        <f t="shared" si="16"/>
        <v>#DIV/0!</v>
      </c>
      <c r="X37" s="497">
        <f t="shared" si="20"/>
        <v>3167.3633106771249</v>
      </c>
      <c r="Y37" s="497" t="e">
        <f t="shared" si="21"/>
        <v>#DIV/0!</v>
      </c>
      <c r="Z37" s="497" t="e">
        <f t="shared" si="9"/>
        <v>#DIV/0!</v>
      </c>
      <c r="AA37" s="497" t="e">
        <f t="shared" si="17"/>
        <v>#DIV/0!</v>
      </c>
      <c r="AB37" s="497" t="e">
        <f>AC37*(B37*E37/AC37/H37)^(1/(1+AD37))</f>
        <v>#DIV/0!</v>
      </c>
      <c r="AC37" s="498" t="e">
        <f t="shared" si="18"/>
        <v>#DIV/0!</v>
      </c>
      <c r="AD37" s="102">
        <f t="shared" si="19"/>
        <v>0.89</v>
      </c>
      <c r="AE37" s="102"/>
      <c r="AK37" s="418"/>
      <c r="AL37" s="418"/>
      <c r="AM37" s="418"/>
      <c r="AN37" s="419"/>
      <c r="AO37" s="418"/>
    </row>
    <row r="38" spans="1:60" s="101" customFormat="1" ht="18" customHeight="1">
      <c r="A38" s="475">
        <f>RESUM!M9</f>
        <v>0</v>
      </c>
      <c r="B38" s="468">
        <f>RESUM!M11</f>
        <v>0</v>
      </c>
      <c r="C38" s="469">
        <f>RESUM!M15</f>
        <v>0</v>
      </c>
      <c r="D38" s="470">
        <f>E38*$B38*PI()/30000</f>
        <v>0</v>
      </c>
      <c r="E38" s="471">
        <f t="shared" si="11"/>
        <v>0</v>
      </c>
      <c r="F38" s="472">
        <f t="shared" si="1"/>
        <v>0</v>
      </c>
      <c r="G38" s="473" t="e">
        <f t="shared" si="22"/>
        <v>#DIV/0!</v>
      </c>
      <c r="H38" s="471" t="e">
        <f t="shared" si="3"/>
        <v>#DIV/0!</v>
      </c>
      <c r="I38" s="469" t="e">
        <f t="shared" si="12"/>
        <v>#DIV/0!</v>
      </c>
      <c r="J38" s="470" t="e">
        <f t="shared" si="4"/>
        <v>#DIV/0!</v>
      </c>
      <c r="K38" s="471" t="e">
        <f>IF(E38&lt;M38,E38,M38)</f>
        <v>#DIV/0!</v>
      </c>
      <c r="L38" s="472" t="e">
        <f t="shared" si="5"/>
        <v>#DIV/0!</v>
      </c>
      <c r="M38" s="473" t="e">
        <f t="shared" si="14"/>
        <v>#DIV/0!</v>
      </c>
      <c r="N38" s="474">
        <f>RESUM!M32</f>
        <v>0</v>
      </c>
      <c r="O38" s="495" t="e">
        <f>'driving mode parameters'!M18</f>
        <v>#DIV/0!</v>
      </c>
      <c r="P38" s="495" t="e">
        <f>'driving mode parameters'!M17</f>
        <v>#DIV/0!</v>
      </c>
      <c r="Q38" s="496">
        <f>RESUM!M16</f>
        <v>0</v>
      </c>
      <c r="R38" s="497">
        <f>RESUM!M12</f>
        <v>0</v>
      </c>
      <c r="S38" s="496">
        <f t="shared" si="15"/>
        <v>0</v>
      </c>
      <c r="T38" s="102"/>
      <c r="U38" s="497" t="e">
        <f t="shared" si="6"/>
        <v>#DIV/0!</v>
      </c>
      <c r="V38" s="497">
        <f t="shared" si="7"/>
        <v>0</v>
      </c>
      <c r="W38" s="497" t="e">
        <f t="shared" si="16"/>
        <v>#DIV/0!</v>
      </c>
      <c r="X38" s="497">
        <f t="shared" si="20"/>
        <v>3167.3633106771249</v>
      </c>
      <c r="Y38" s="497" t="e">
        <f t="shared" si="21"/>
        <v>#DIV/0!</v>
      </c>
      <c r="Z38" s="497" t="e">
        <f t="shared" si="9"/>
        <v>#DIV/0!</v>
      </c>
      <c r="AA38" s="497" t="e">
        <f t="shared" si="17"/>
        <v>#DIV/0!</v>
      </c>
      <c r="AB38" s="497" t="e">
        <f>AC38*(B38*E38/AC38/H38)^(1/(1+AD38))</f>
        <v>#DIV/0!</v>
      </c>
      <c r="AC38" s="498" t="e">
        <f t="shared" si="18"/>
        <v>#DIV/0!</v>
      </c>
      <c r="AD38" s="102">
        <f t="shared" si="19"/>
        <v>0.89</v>
      </c>
      <c r="AE38" s="102"/>
      <c r="AK38" s="418"/>
      <c r="AL38" s="418"/>
      <c r="AM38" s="418"/>
      <c r="AN38" s="419"/>
      <c r="AO38" s="418"/>
    </row>
    <row r="39" spans="1:60" s="101" customFormat="1" ht="18" customHeight="1">
      <c r="A39" s="475">
        <f>RESUM!N9</f>
        <v>0</v>
      </c>
      <c r="B39" s="468">
        <f>RESUM!N11</f>
        <v>0</v>
      </c>
      <c r="C39" s="469">
        <f>RESUM!N15</f>
        <v>0</v>
      </c>
      <c r="D39" s="470">
        <f t="shared" ref="D39:D40" si="23">E39*$B39*PI()/30000</f>
        <v>0</v>
      </c>
      <c r="E39" s="471">
        <f t="shared" si="11"/>
        <v>0</v>
      </c>
      <c r="F39" s="472">
        <f t="shared" si="1"/>
        <v>0</v>
      </c>
      <c r="G39" s="473" t="e">
        <f t="shared" si="22"/>
        <v>#DIV/0!</v>
      </c>
      <c r="H39" s="471" t="e">
        <f t="shared" si="3"/>
        <v>#DIV/0!</v>
      </c>
      <c r="I39" s="469" t="e">
        <f t="shared" si="12"/>
        <v>#DIV/0!</v>
      </c>
      <c r="J39" s="470" t="e">
        <f t="shared" si="4"/>
        <v>#DIV/0!</v>
      </c>
      <c r="K39" s="471" t="e">
        <f t="shared" ref="K39:K40" si="24">IF(E39&lt;M39,E39,M39)</f>
        <v>#DIV/0!</v>
      </c>
      <c r="L39" s="472" t="e">
        <f t="shared" si="5"/>
        <v>#DIV/0!</v>
      </c>
      <c r="M39" s="473" t="e">
        <f t="shared" si="14"/>
        <v>#DIV/0!</v>
      </c>
      <c r="N39" s="474">
        <f>RESUM!N32</f>
        <v>0</v>
      </c>
      <c r="O39" s="495" t="e">
        <f>'driving mode parameters'!N18</f>
        <v>#DIV/0!</v>
      </c>
      <c r="P39" s="495" t="e">
        <f>'driving mode parameters'!N17</f>
        <v>#DIV/0!</v>
      </c>
      <c r="Q39" s="496">
        <f>RESUM!N16</f>
        <v>0</v>
      </c>
      <c r="R39" s="497">
        <f>RESUM!N12</f>
        <v>0</v>
      </c>
      <c r="S39" s="496">
        <f t="shared" si="15"/>
        <v>0</v>
      </c>
      <c r="T39" s="102"/>
      <c r="U39" s="497" t="e">
        <f t="shared" si="6"/>
        <v>#DIV/0!</v>
      </c>
      <c r="V39" s="497">
        <f t="shared" si="7"/>
        <v>0</v>
      </c>
      <c r="W39" s="497" t="e">
        <f t="shared" si="16"/>
        <v>#DIV/0!</v>
      </c>
      <c r="X39" s="497">
        <f t="shared" si="20"/>
        <v>3167.3633106771249</v>
      </c>
      <c r="Y39" s="497" t="e">
        <f t="shared" si="21"/>
        <v>#DIV/0!</v>
      </c>
      <c r="Z39" s="497" t="e">
        <f t="shared" si="9"/>
        <v>#DIV/0!</v>
      </c>
      <c r="AA39" s="497" t="e">
        <f t="shared" si="17"/>
        <v>#DIV/0!</v>
      </c>
      <c r="AB39" s="497" t="e">
        <f t="shared" ref="AB39:AB40" si="25">AC39*(B39*E39/AC39/H39)^(1/(1+AD39))</f>
        <v>#DIV/0!</v>
      </c>
      <c r="AC39" s="498" t="e">
        <f t="shared" si="18"/>
        <v>#DIV/0!</v>
      </c>
      <c r="AD39" s="102">
        <f t="shared" si="19"/>
        <v>0.89</v>
      </c>
      <c r="AE39" s="102"/>
      <c r="AK39" s="418"/>
      <c r="AL39" s="418"/>
      <c r="AM39" s="418"/>
      <c r="AN39" s="419"/>
      <c r="AO39" s="418"/>
    </row>
    <row r="40" spans="1:60" s="101" customFormat="1" ht="18" customHeight="1" thickBot="1">
      <c r="A40" s="483">
        <f>RESUM!O9</f>
        <v>0</v>
      </c>
      <c r="B40" s="476">
        <f>RESUM!O11</f>
        <v>0</v>
      </c>
      <c r="C40" s="477">
        <f>RESUM!O15</f>
        <v>0</v>
      </c>
      <c r="D40" s="478">
        <f t="shared" si="23"/>
        <v>0</v>
      </c>
      <c r="E40" s="479">
        <f t="shared" si="11"/>
        <v>0</v>
      </c>
      <c r="F40" s="480">
        <f t="shared" si="1"/>
        <v>0</v>
      </c>
      <c r="G40" s="481" t="e">
        <f t="shared" si="22"/>
        <v>#DIV/0!</v>
      </c>
      <c r="H40" s="479" t="e">
        <f t="shared" si="3"/>
        <v>#DIV/0!</v>
      </c>
      <c r="I40" s="477" t="e">
        <f t="shared" si="12"/>
        <v>#DIV/0!</v>
      </c>
      <c r="J40" s="478" t="e">
        <f t="shared" si="4"/>
        <v>#DIV/0!</v>
      </c>
      <c r="K40" s="479" t="e">
        <f t="shared" si="24"/>
        <v>#DIV/0!</v>
      </c>
      <c r="L40" s="480" t="e">
        <f t="shared" si="5"/>
        <v>#DIV/0!</v>
      </c>
      <c r="M40" s="473" t="e">
        <f t="shared" si="14"/>
        <v>#DIV/0!</v>
      </c>
      <c r="N40" s="482">
        <f>RESUM!O32</f>
        <v>0</v>
      </c>
      <c r="O40" s="495" t="e">
        <f>'driving mode parameters'!O18</f>
        <v>#DIV/0!</v>
      </c>
      <c r="P40" s="495" t="e">
        <f>'driving mode parameters'!O17</f>
        <v>#DIV/0!</v>
      </c>
      <c r="Q40" s="496">
        <f>RESUM!O16</f>
        <v>0</v>
      </c>
      <c r="R40" s="497">
        <f>RESUM!O12</f>
        <v>0</v>
      </c>
      <c r="S40" s="496">
        <f t="shared" si="15"/>
        <v>0</v>
      </c>
      <c r="T40" s="102"/>
      <c r="U40" s="497" t="e">
        <f t="shared" si="6"/>
        <v>#DIV/0!</v>
      </c>
      <c r="V40" s="497">
        <f t="shared" si="7"/>
        <v>0</v>
      </c>
      <c r="W40" s="497" t="e">
        <f t="shared" si="16"/>
        <v>#DIV/0!</v>
      </c>
      <c r="X40" s="497">
        <f t="shared" si="20"/>
        <v>3167.3633106771249</v>
      </c>
      <c r="Y40" s="497" t="e">
        <f t="shared" si="21"/>
        <v>#DIV/0!</v>
      </c>
      <c r="Z40" s="497" t="e">
        <f t="shared" si="9"/>
        <v>#DIV/0!</v>
      </c>
      <c r="AA40" s="497" t="e">
        <f t="shared" si="17"/>
        <v>#DIV/0!</v>
      </c>
      <c r="AB40" s="497" t="e">
        <f t="shared" si="25"/>
        <v>#DIV/0!</v>
      </c>
      <c r="AC40" s="498" t="e">
        <f t="shared" si="18"/>
        <v>#DIV/0!</v>
      </c>
      <c r="AD40" s="102">
        <f t="shared" si="19"/>
        <v>0.89</v>
      </c>
      <c r="AE40" s="102"/>
      <c r="AK40" s="418"/>
      <c r="AL40" s="418"/>
      <c r="AM40" s="418"/>
      <c r="AN40" s="419"/>
      <c r="AO40" s="418"/>
    </row>
    <row r="41" spans="1:60" s="92" customFormat="1" ht="19.5" customHeight="1" thickBot="1">
      <c r="A41" s="165" t="s">
        <v>96</v>
      </c>
      <c r="B41" s="166"/>
      <c r="C41" s="166"/>
      <c r="D41" s="166"/>
      <c r="E41" s="166"/>
      <c r="F41" s="166"/>
      <c r="G41" s="167"/>
      <c r="H41" s="165" t="s">
        <v>97</v>
      </c>
      <c r="I41" s="166"/>
      <c r="J41" s="166"/>
      <c r="K41" s="166"/>
      <c r="L41" s="166"/>
      <c r="M41" s="166"/>
      <c r="N41" s="167"/>
      <c r="O41" s="102"/>
      <c r="P41" s="73"/>
      <c r="Q41" s="73"/>
      <c r="R41" s="73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1"/>
      <c r="AG41" s="101"/>
      <c r="AH41" s="422"/>
      <c r="AI41" s="422"/>
      <c r="AJ41" s="422"/>
      <c r="AK41" s="422"/>
      <c r="AL41" s="422"/>
      <c r="AM41" s="422"/>
      <c r="AN41" s="422"/>
      <c r="AO41" s="422"/>
      <c r="AP41" s="422"/>
      <c r="AQ41" s="422"/>
      <c r="AR41" s="422"/>
      <c r="AS41" s="422"/>
      <c r="AT41" s="422"/>
      <c r="AU41" s="422"/>
      <c r="AV41" s="422"/>
      <c r="AW41" s="422"/>
      <c r="AX41" s="422"/>
      <c r="AY41" s="422"/>
      <c r="AZ41" s="422"/>
      <c r="BA41" s="422"/>
      <c r="BB41" s="422"/>
      <c r="BC41" s="422"/>
      <c r="BD41" s="422"/>
      <c r="BE41" s="169"/>
      <c r="BF41" s="168"/>
      <c r="BG41" s="168"/>
      <c r="BH41" s="168"/>
    </row>
    <row r="42" spans="1:60" ht="15" customHeight="1">
      <c r="C42" s="76"/>
      <c r="D42" s="76"/>
      <c r="F42" s="76"/>
      <c r="G42" s="90"/>
      <c r="I42" s="76"/>
      <c r="J42" s="90"/>
      <c r="K42" s="170"/>
      <c r="L42" s="76"/>
      <c r="M42" s="90"/>
    </row>
    <row r="43" spans="1:60" ht="15" customHeight="1">
      <c r="C43" s="76"/>
      <c r="D43" s="76"/>
      <c r="F43" s="76"/>
      <c r="G43" s="90"/>
      <c r="I43" s="76"/>
      <c r="J43" s="90"/>
      <c r="K43" s="170"/>
      <c r="L43" s="76"/>
      <c r="M43" s="90"/>
    </row>
    <row r="44" spans="1:60" ht="15" customHeight="1">
      <c r="A44" s="459"/>
      <c r="B44" s="459"/>
      <c r="C44" s="459"/>
      <c r="D44" s="459"/>
      <c r="E44" s="459"/>
      <c r="F44" s="459"/>
      <c r="G44" s="460"/>
      <c r="H44" s="459"/>
      <c r="I44" s="460"/>
      <c r="J44" s="460"/>
      <c r="K44" s="460"/>
      <c r="L44" s="460"/>
      <c r="M44" s="460"/>
      <c r="N44" s="460"/>
    </row>
    <row r="45" spans="1:60" ht="15" customHeight="1">
      <c r="C45" s="76"/>
      <c r="D45" s="76"/>
      <c r="F45" s="76"/>
      <c r="G45" s="90"/>
      <c r="I45" s="76"/>
      <c r="J45" s="90"/>
      <c r="K45" s="170"/>
      <c r="L45" s="76"/>
      <c r="M45" s="90"/>
    </row>
    <row r="46" spans="1:60" ht="15" customHeight="1">
      <c r="C46" s="76"/>
      <c r="D46" s="76"/>
      <c r="F46" s="76"/>
      <c r="G46" s="90"/>
      <c r="I46" s="76"/>
      <c r="J46" s="90"/>
      <c r="K46" s="170"/>
      <c r="L46" s="76"/>
      <c r="M46" s="90"/>
    </row>
    <row r="47" spans="1:60" ht="15" customHeight="1">
      <c r="C47" s="76"/>
      <c r="D47" s="76"/>
      <c r="F47" s="76"/>
      <c r="G47" s="90"/>
      <c r="I47" s="76"/>
      <c r="J47" s="90"/>
      <c r="K47" s="170"/>
      <c r="L47" s="76"/>
      <c r="M47" s="90"/>
    </row>
    <row r="48" spans="1:60" ht="15" customHeight="1">
      <c r="C48" s="76"/>
      <c r="E48" s="90"/>
      <c r="F48" s="76"/>
      <c r="G48" s="90"/>
      <c r="I48" s="76"/>
      <c r="J48" s="90"/>
      <c r="K48" s="170"/>
      <c r="L48" s="76"/>
      <c r="M48" s="90"/>
    </row>
    <row r="49" spans="3:18" ht="15" customHeight="1">
      <c r="C49" s="76"/>
      <c r="E49" s="90"/>
      <c r="F49" s="76"/>
      <c r="G49" s="90"/>
      <c r="I49" s="76"/>
      <c r="J49" s="90"/>
      <c r="K49" s="170"/>
      <c r="L49" s="76"/>
      <c r="M49" s="90"/>
    </row>
    <row r="50" spans="3:18" ht="15" customHeight="1">
      <c r="C50" s="76"/>
      <c r="E50" s="90"/>
      <c r="F50" s="76"/>
      <c r="G50" s="90"/>
      <c r="I50" s="76"/>
      <c r="J50" s="90"/>
      <c r="K50" s="170"/>
      <c r="L50" s="76"/>
      <c r="M50" s="90"/>
    </row>
    <row r="51" spans="3:18" ht="15" customHeight="1">
      <c r="C51" s="76"/>
      <c r="E51" s="90"/>
      <c r="F51" s="76"/>
      <c r="G51" s="90"/>
      <c r="I51" s="76"/>
      <c r="J51" s="90"/>
      <c r="K51" s="170"/>
      <c r="L51" s="76"/>
      <c r="M51" s="90"/>
      <c r="P51" s="101"/>
      <c r="Q51" s="101"/>
      <c r="R51" s="101"/>
    </row>
    <row r="52" spans="3:18" ht="15" customHeight="1">
      <c r="C52" s="76"/>
      <c r="E52" s="90"/>
      <c r="F52" s="76"/>
      <c r="G52" s="90"/>
      <c r="I52" s="76"/>
      <c r="J52" s="90"/>
      <c r="K52" s="170"/>
      <c r="L52" s="76"/>
      <c r="M52" s="90"/>
    </row>
    <row r="53" spans="3:18" ht="15" customHeight="1">
      <c r="C53" s="76"/>
      <c r="E53" s="90"/>
      <c r="F53" s="76"/>
      <c r="G53" s="90"/>
      <c r="I53" s="76"/>
      <c r="J53" s="90"/>
      <c r="K53" s="170"/>
      <c r="L53" s="76"/>
      <c r="M53" s="90"/>
    </row>
    <row r="54" spans="3:18" ht="15" customHeight="1">
      <c r="C54" s="76"/>
      <c r="E54" s="90"/>
      <c r="F54" s="76"/>
      <c r="G54" s="90"/>
      <c r="I54" s="76"/>
      <c r="J54" s="90"/>
      <c r="K54" s="170"/>
      <c r="L54" s="76"/>
      <c r="M54" s="90"/>
    </row>
    <row r="55" spans="3:18" ht="15" customHeight="1">
      <c r="C55" s="76"/>
      <c r="E55" s="90"/>
      <c r="F55" s="76"/>
      <c r="G55" s="90"/>
      <c r="I55" s="76"/>
      <c r="J55" s="90"/>
      <c r="K55" s="170"/>
      <c r="L55" s="76"/>
      <c r="M55" s="90"/>
    </row>
    <row r="56" spans="3:18" ht="15" customHeight="1">
      <c r="C56" s="76"/>
      <c r="E56" s="90"/>
      <c r="F56" s="76"/>
      <c r="G56" s="90"/>
      <c r="I56" s="76"/>
      <c r="J56" s="90"/>
      <c r="K56" s="170"/>
      <c r="L56" s="76"/>
      <c r="M56" s="90"/>
    </row>
    <row r="57" spans="3:18" ht="15" customHeight="1">
      <c r="C57" s="76"/>
      <c r="E57" s="90"/>
      <c r="F57" s="76"/>
      <c r="G57" s="90"/>
      <c r="I57" s="76"/>
      <c r="J57" s="90"/>
      <c r="K57" s="170"/>
      <c r="L57" s="76"/>
      <c r="M57" s="90"/>
    </row>
    <row r="58" spans="3:18" ht="15" customHeight="1">
      <c r="C58" s="76"/>
      <c r="E58" s="90"/>
      <c r="F58" s="76"/>
      <c r="G58" s="90"/>
      <c r="I58" s="76"/>
      <c r="J58" s="90"/>
      <c r="K58" s="170"/>
      <c r="L58" s="76"/>
      <c r="M58" s="90"/>
    </row>
    <row r="59" spans="3:18" ht="15" customHeight="1">
      <c r="C59" s="76"/>
      <c r="E59" s="90"/>
      <c r="F59" s="76"/>
      <c r="G59" s="90"/>
      <c r="I59" s="76"/>
      <c r="J59" s="90"/>
      <c r="K59" s="170"/>
      <c r="L59" s="76"/>
      <c r="M59" s="90"/>
    </row>
    <row r="60" spans="3:18" ht="15" customHeight="1">
      <c r="C60" s="76"/>
      <c r="E60" s="90"/>
      <c r="F60" s="76"/>
      <c r="G60" s="90"/>
      <c r="I60" s="76"/>
      <c r="J60" s="90"/>
      <c r="K60" s="170"/>
      <c r="L60" s="76"/>
      <c r="M60" s="90"/>
    </row>
    <row r="61" spans="3:18" ht="15" customHeight="1">
      <c r="C61" s="76"/>
      <c r="E61" s="90"/>
      <c r="F61" s="76"/>
      <c r="G61" s="90"/>
      <c r="I61" s="76"/>
      <c r="J61" s="90"/>
      <c r="K61" s="170"/>
      <c r="L61" s="76"/>
      <c r="M61" s="90"/>
    </row>
    <row r="62" spans="3:18" ht="15" customHeight="1">
      <c r="C62" s="76"/>
      <c r="E62" s="90"/>
      <c r="F62" s="76"/>
      <c r="G62" s="90"/>
      <c r="I62" s="76"/>
      <c r="J62" s="90"/>
      <c r="K62" s="170"/>
      <c r="L62" s="76"/>
      <c r="M62" s="90"/>
    </row>
    <row r="63" spans="3:18" ht="15" customHeight="1">
      <c r="C63" s="76"/>
      <c r="E63" s="90"/>
      <c r="F63" s="76"/>
      <c r="G63" s="90"/>
      <c r="I63" s="76"/>
      <c r="J63" s="90"/>
      <c r="K63" s="170"/>
      <c r="L63" s="76"/>
      <c r="M63" s="90"/>
    </row>
    <row r="64" spans="3:18" ht="15" customHeight="1">
      <c r="C64" s="76"/>
      <c r="E64" s="90"/>
      <c r="F64" s="76"/>
      <c r="G64" s="90"/>
      <c r="I64" s="76"/>
      <c r="J64" s="90"/>
      <c r="K64" s="170"/>
      <c r="L64" s="76"/>
      <c r="M64" s="90"/>
    </row>
    <row r="65" spans="1:19" ht="15" customHeight="1">
      <c r="C65" s="76"/>
      <c r="E65" s="90"/>
      <c r="F65" s="76"/>
      <c r="G65" s="90"/>
      <c r="I65" s="76"/>
      <c r="J65" s="90"/>
      <c r="K65" s="170"/>
      <c r="L65" s="76"/>
      <c r="M65" s="90"/>
    </row>
    <row r="66" spans="1:19" ht="15" customHeight="1">
      <c r="C66" s="76"/>
      <c r="E66" s="90"/>
      <c r="F66" s="76"/>
      <c r="G66" s="90"/>
      <c r="I66" s="76"/>
      <c r="J66" s="90"/>
      <c r="K66" s="170"/>
      <c r="L66" s="76"/>
      <c r="M66" s="90"/>
    </row>
    <row r="67" spans="1:19" ht="15" customHeight="1">
      <c r="C67" s="76"/>
      <c r="E67" s="90"/>
      <c r="F67" s="76"/>
      <c r="G67" s="90"/>
      <c r="I67" s="76"/>
      <c r="J67" s="90"/>
      <c r="K67" s="170"/>
      <c r="L67" s="76"/>
      <c r="M67" s="90"/>
    </row>
    <row r="68" spans="1:19" ht="15" customHeight="1">
      <c r="C68" s="76"/>
      <c r="E68" s="90"/>
      <c r="F68" s="76"/>
      <c r="G68" s="90"/>
      <c r="I68" s="76"/>
      <c r="J68" s="90"/>
      <c r="K68" s="170"/>
      <c r="L68" s="76"/>
      <c r="M68" s="90"/>
    </row>
    <row r="69" spans="1:19" ht="15" customHeight="1">
      <c r="C69" s="76"/>
      <c r="E69" s="90"/>
      <c r="F69" s="76"/>
      <c r="G69" s="90"/>
      <c r="I69" s="76"/>
      <c r="J69" s="90"/>
      <c r="K69" s="170"/>
      <c r="L69" s="76"/>
      <c r="M69" s="90"/>
    </row>
    <row r="70" spans="1:19" ht="15" customHeight="1">
      <c r="C70" s="76"/>
      <c r="E70" s="90"/>
      <c r="F70" s="76"/>
      <c r="G70" s="90"/>
      <c r="I70" s="76"/>
      <c r="J70" s="90"/>
      <c r="K70" s="170"/>
      <c r="L70" s="76"/>
      <c r="M70" s="90"/>
    </row>
    <row r="71" spans="1:19" ht="15" customHeight="1" thickBot="1">
      <c r="C71" s="76"/>
      <c r="E71" s="90"/>
      <c r="F71" s="76"/>
      <c r="G71" s="90"/>
      <c r="I71" s="76"/>
      <c r="J71" s="90"/>
      <c r="K71" s="170"/>
      <c r="L71" s="76"/>
      <c r="M71" s="90"/>
    </row>
    <row r="72" spans="1:19" ht="15" customHeight="1">
      <c r="A72" s="171" t="s">
        <v>98</v>
      </c>
      <c r="B72" s="66"/>
      <c r="C72" s="66"/>
      <c r="D72" s="172"/>
      <c r="E72" s="173" t="s">
        <v>99</v>
      </c>
      <c r="F72" s="66"/>
      <c r="G72" s="174"/>
      <c r="H72" s="66"/>
      <c r="I72" s="66"/>
      <c r="J72" s="172"/>
      <c r="K72" s="175" t="s">
        <v>100</v>
      </c>
      <c r="L72" s="66"/>
      <c r="M72" s="174"/>
      <c r="N72" s="67"/>
    </row>
    <row r="73" spans="1:19" ht="15" customHeight="1">
      <c r="A73" s="77"/>
      <c r="C73" s="76"/>
      <c r="D73" s="176"/>
      <c r="E73" s="177"/>
      <c r="F73" s="76"/>
      <c r="G73" s="90"/>
      <c r="I73" s="76"/>
      <c r="J73" s="176"/>
      <c r="K73" s="178"/>
      <c r="L73" s="76"/>
      <c r="M73" s="90"/>
      <c r="N73" s="78"/>
    </row>
    <row r="74" spans="1:19" ht="15" customHeight="1" thickBot="1">
      <c r="A74" s="81"/>
      <c r="B74" s="82"/>
      <c r="C74" s="82"/>
      <c r="D74" s="179">
        <f>M4</f>
        <v>45244</v>
      </c>
      <c r="E74" s="180"/>
      <c r="F74" s="82"/>
      <c r="G74" s="181"/>
      <c r="H74" s="82"/>
      <c r="I74" s="82"/>
      <c r="J74" s="179">
        <f>D74</f>
        <v>45244</v>
      </c>
      <c r="K74" s="182"/>
      <c r="L74" s="82"/>
      <c r="M74" s="181"/>
      <c r="N74" s="179">
        <f>J74</f>
        <v>45244</v>
      </c>
    </row>
    <row r="75" spans="1:19" ht="20.100000000000001" customHeight="1">
      <c r="A75" s="65"/>
      <c r="B75" s="66"/>
      <c r="C75" s="67"/>
      <c r="D75" s="183"/>
      <c r="E75" s="183"/>
      <c r="F75" s="183"/>
      <c r="G75" s="183"/>
      <c r="H75" s="183"/>
      <c r="I75" s="183"/>
      <c r="J75" s="184"/>
      <c r="K75" s="183"/>
      <c r="L75" s="185"/>
      <c r="M75" s="600"/>
      <c r="N75" s="601"/>
    </row>
    <row r="76" spans="1:19" ht="20.100000000000001" customHeight="1">
      <c r="A76" s="77"/>
      <c r="C76" s="78"/>
      <c r="D76" s="632" t="str">
        <f>D2</f>
        <v>MAC QE 200 P</v>
      </c>
      <c r="E76" s="633"/>
      <c r="F76" s="633"/>
      <c r="G76" s="633"/>
      <c r="H76" s="633"/>
      <c r="I76" s="633"/>
      <c r="J76" s="633"/>
      <c r="K76" s="634"/>
      <c r="L76" s="186"/>
      <c r="M76" s="545"/>
      <c r="N76" s="546"/>
    </row>
    <row r="77" spans="1:19" ht="20.100000000000001" customHeight="1">
      <c r="A77" s="77"/>
      <c r="C77" s="78"/>
      <c r="D77" s="607" t="s">
        <v>101</v>
      </c>
      <c r="E77" s="608"/>
      <c r="F77" s="608"/>
      <c r="G77" s="608"/>
      <c r="H77" s="608"/>
      <c r="I77" s="608"/>
      <c r="J77" s="608"/>
      <c r="K77" s="609"/>
      <c r="L77" s="186" t="s">
        <v>102</v>
      </c>
      <c r="M77" s="610" t="s">
        <v>103</v>
      </c>
      <c r="N77" s="546"/>
    </row>
    <row r="78" spans="1:19" ht="20.100000000000001" customHeight="1">
      <c r="A78" s="77"/>
      <c r="C78" s="78"/>
      <c r="D78" s="618" t="s">
        <v>104</v>
      </c>
      <c r="E78" s="619"/>
      <c r="F78" s="619"/>
      <c r="G78" s="619"/>
      <c r="H78" s="619"/>
      <c r="I78" s="619"/>
      <c r="J78" s="619"/>
      <c r="K78" s="620"/>
      <c r="L78" s="186" t="s">
        <v>13</v>
      </c>
      <c r="M78" s="611">
        <f>M4</f>
        <v>45244</v>
      </c>
      <c r="N78" s="621"/>
    </row>
    <row r="79" spans="1:19" ht="20.100000000000001" customHeight="1" thickBot="1">
      <c r="A79" s="81"/>
      <c r="B79" s="82"/>
      <c r="C79" s="83"/>
      <c r="D79" s="187"/>
      <c r="E79" s="187"/>
      <c r="F79" s="187"/>
      <c r="G79" s="187"/>
      <c r="H79" s="187"/>
      <c r="I79" s="187"/>
      <c r="J79" s="188"/>
      <c r="K79" s="187"/>
      <c r="L79" s="189"/>
      <c r="M79" s="612"/>
      <c r="N79" s="613"/>
    </row>
    <row r="80" spans="1:19" ht="20.100000000000001" customHeight="1" thickBot="1">
      <c r="C80" s="76"/>
      <c r="D80" s="76"/>
      <c r="F80" s="76"/>
      <c r="I80" s="76"/>
      <c r="J80" s="76"/>
      <c r="L80" s="76"/>
      <c r="O80" s="410"/>
      <c r="S80" s="411"/>
    </row>
    <row r="81" spans="1:56" s="138" customFormat="1" ht="18" customHeight="1">
      <c r="A81" s="643" t="s">
        <v>66</v>
      </c>
      <c r="B81" s="644"/>
      <c r="C81" s="644"/>
      <c r="D81" s="644"/>
      <c r="E81" s="645" t="s">
        <v>67</v>
      </c>
      <c r="F81" s="639">
        <f>F21</f>
        <v>400</v>
      </c>
      <c r="G81" s="640"/>
      <c r="H81" s="643" t="s">
        <v>68</v>
      </c>
      <c r="I81" s="644"/>
      <c r="J81" s="644"/>
      <c r="K81" s="644"/>
      <c r="L81" s="645" t="s">
        <v>69</v>
      </c>
      <c r="M81" s="639">
        <f>M21</f>
        <v>400</v>
      </c>
      <c r="N81" s="640"/>
      <c r="O81" s="404"/>
      <c r="P81" s="404"/>
      <c r="Q81" s="635"/>
      <c r="R81" s="635"/>
      <c r="S81" s="635"/>
      <c r="T81" s="635"/>
      <c r="U81" s="404"/>
      <c r="V81" s="404"/>
      <c r="W81" s="635"/>
      <c r="X81" s="635"/>
      <c r="Y81" s="635"/>
      <c r="Z81" s="635"/>
      <c r="AA81" s="635"/>
      <c r="AB81" s="635"/>
      <c r="AC81" s="404"/>
      <c r="AD81" s="404"/>
      <c r="AE81" s="404"/>
      <c r="AF81" s="404"/>
      <c r="AG81" s="404"/>
      <c r="AH81" s="404"/>
      <c r="AI81" s="404"/>
      <c r="AJ81" s="404"/>
      <c r="AK81" s="404"/>
      <c r="AL81" s="412"/>
      <c r="AM81" s="412"/>
      <c r="AN81" s="412"/>
      <c r="AO81" s="421"/>
      <c r="AP81" s="412"/>
      <c r="AQ81" s="404"/>
      <c r="AR81" s="404"/>
      <c r="AS81" s="404"/>
      <c r="AT81" s="404"/>
      <c r="AU81" s="404"/>
      <c r="AV81" s="404"/>
      <c r="AW81" s="404"/>
      <c r="AX81" s="404"/>
      <c r="AY81" s="404"/>
      <c r="AZ81" s="404"/>
      <c r="BA81" s="404"/>
      <c r="BB81" s="404"/>
      <c r="BC81" s="404"/>
      <c r="BD81" s="404"/>
    </row>
    <row r="82" spans="1:56" s="138" customFormat="1" ht="18" customHeight="1" thickBot="1">
      <c r="A82" s="636" t="s">
        <v>70</v>
      </c>
      <c r="B82" s="637"/>
      <c r="C82" s="637"/>
      <c r="D82" s="637"/>
      <c r="E82" s="646"/>
      <c r="F82" s="641"/>
      <c r="G82" s="642"/>
      <c r="H82" s="636" t="s">
        <v>71</v>
      </c>
      <c r="I82" s="637"/>
      <c r="J82" s="637"/>
      <c r="K82" s="637"/>
      <c r="L82" s="646"/>
      <c r="M82" s="641"/>
      <c r="N82" s="642"/>
      <c r="O82" s="404"/>
      <c r="P82" s="404"/>
      <c r="Q82" s="638"/>
      <c r="R82" s="638"/>
      <c r="S82" s="638"/>
      <c r="T82" s="638"/>
      <c r="U82" s="404"/>
      <c r="V82" s="404"/>
      <c r="W82" s="638"/>
      <c r="X82" s="638"/>
      <c r="Y82" s="638"/>
      <c r="Z82" s="638"/>
      <c r="AA82" s="638"/>
      <c r="AB82" s="638"/>
      <c r="AC82" s="404"/>
      <c r="AD82" s="404"/>
      <c r="AE82" s="404"/>
      <c r="AF82" s="404"/>
      <c r="AG82" s="404"/>
      <c r="AH82" s="404"/>
      <c r="AI82" s="404"/>
      <c r="AJ82" s="404"/>
      <c r="AK82" s="404"/>
      <c r="AL82" s="412"/>
      <c r="AM82" s="412"/>
      <c r="AN82" s="412"/>
      <c r="AO82" s="421"/>
      <c r="AP82" s="412"/>
      <c r="AQ82" s="404"/>
      <c r="AR82" s="404"/>
      <c r="AS82" s="404"/>
      <c r="AT82" s="404"/>
      <c r="AU82" s="404"/>
      <c r="AV82" s="404"/>
      <c r="AW82" s="404"/>
      <c r="AX82" s="404"/>
      <c r="AY82" s="404"/>
      <c r="AZ82" s="404"/>
      <c r="BA82" s="404"/>
      <c r="BB82" s="404"/>
      <c r="BC82" s="404"/>
      <c r="BD82" s="404"/>
    </row>
    <row r="83" spans="1:56" s="138" customFormat="1" ht="18" customHeight="1" thickBot="1">
      <c r="B83" s="116"/>
      <c r="C83" s="116"/>
      <c r="D83" s="116"/>
      <c r="E83" s="116"/>
      <c r="F83" s="146" t="str">
        <f>IF(F81&gt;500," LA TENSIÓN DE BASE HA DE SER INFERIOR O IGUAL A 500 V"," ")</f>
        <v xml:space="preserve"> </v>
      </c>
      <c r="G83" s="190" t="str">
        <f>IF(M81&gt;500," LA TENSIÓN MÁXIMA HA DE SER INFERIOR O IGUAL A 500 V"," ")</f>
        <v xml:space="preserve"> </v>
      </c>
      <c r="I83" s="191"/>
      <c r="J83" s="116"/>
      <c r="K83" s="191"/>
      <c r="L83" s="191"/>
      <c r="N83" s="146" t="str">
        <f>IF(M81&lt;F81," LA TENSIÓN MÁXIMA HA DE SER SUPERIOR O IGUAL A LA DE BASE"," ")</f>
        <v xml:space="preserve"> </v>
      </c>
      <c r="O83" s="404"/>
      <c r="P83" s="404"/>
      <c r="Q83" s="404"/>
      <c r="R83" s="404"/>
      <c r="S83" s="404"/>
      <c r="T83" s="404"/>
      <c r="U83" s="404"/>
      <c r="V83" s="404"/>
      <c r="W83" s="404"/>
      <c r="X83" s="404"/>
      <c r="Y83" s="404"/>
      <c r="Z83" s="404"/>
      <c r="AA83" s="404"/>
      <c r="AB83" s="404"/>
      <c r="AC83" s="404"/>
      <c r="AD83" s="404"/>
      <c r="AE83" s="404"/>
      <c r="AF83" s="404"/>
      <c r="AG83" s="404"/>
      <c r="AH83" s="404"/>
      <c r="AI83" s="404"/>
      <c r="AJ83" s="404"/>
      <c r="AK83" s="404"/>
      <c r="AL83" s="412"/>
      <c r="AM83" s="412"/>
      <c r="AN83" s="421"/>
      <c r="AO83" s="412"/>
      <c r="AP83" s="404"/>
      <c r="AQ83" s="404"/>
      <c r="AR83" s="404"/>
      <c r="AS83" s="404"/>
      <c r="AT83" s="404"/>
      <c r="AU83" s="404"/>
      <c r="AV83" s="404"/>
      <c r="AW83" s="404"/>
      <c r="AX83" s="404"/>
      <c r="AY83" s="404"/>
      <c r="AZ83" s="404"/>
      <c r="BA83" s="404"/>
      <c r="BB83" s="404"/>
      <c r="BC83" s="404"/>
      <c r="BD83" s="404"/>
    </row>
    <row r="84" spans="1:56" s="138" customFormat="1" ht="18" customHeight="1">
      <c r="B84" s="622" t="s">
        <v>72</v>
      </c>
      <c r="C84" s="623"/>
      <c r="D84" s="623"/>
      <c r="E84" s="623"/>
      <c r="F84" s="579" t="str">
        <f>F24</f>
        <v>S1</v>
      </c>
      <c r="G84" s="144"/>
      <c r="H84" s="622" t="str">
        <f>H24</f>
        <v>Servicio / Service  S6 -</v>
      </c>
      <c r="I84" s="623"/>
      <c r="J84" s="623"/>
      <c r="K84" s="623"/>
      <c r="L84" s="647">
        <f>L24</f>
        <v>0.4</v>
      </c>
      <c r="M84" s="192"/>
      <c r="N84" s="146"/>
      <c r="O84" s="404"/>
      <c r="P84" s="404"/>
      <c r="Q84" s="404"/>
      <c r="R84" s="404"/>
      <c r="S84" s="404"/>
      <c r="T84" s="404"/>
      <c r="U84" s="404"/>
      <c r="V84" s="404"/>
      <c r="W84" s="404"/>
      <c r="X84" s="404"/>
      <c r="Y84" s="404"/>
      <c r="Z84" s="404"/>
      <c r="AA84" s="404"/>
      <c r="AB84" s="404"/>
      <c r="AC84" s="404"/>
      <c r="AD84" s="404"/>
      <c r="AE84" s="404"/>
      <c r="AF84" s="404"/>
      <c r="AG84" s="404"/>
      <c r="AH84" s="404"/>
      <c r="AI84" s="404"/>
      <c r="AJ84" s="404"/>
      <c r="AK84" s="404"/>
      <c r="AL84" s="412"/>
      <c r="AM84" s="412"/>
      <c r="AN84" s="421"/>
      <c r="AO84" s="412"/>
      <c r="AP84" s="404"/>
      <c r="AQ84" s="404"/>
      <c r="AR84" s="404"/>
      <c r="AS84" s="404"/>
      <c r="AT84" s="404"/>
      <c r="AU84" s="404"/>
      <c r="AV84" s="404"/>
      <c r="AW84" s="404"/>
      <c r="AX84" s="404"/>
      <c r="AY84" s="404"/>
      <c r="AZ84" s="404"/>
      <c r="BA84" s="404"/>
      <c r="BB84" s="404"/>
      <c r="BC84" s="404"/>
      <c r="BD84" s="404"/>
    </row>
    <row r="85" spans="1:56" s="138" customFormat="1" ht="18" customHeight="1" thickBot="1">
      <c r="A85" s="107"/>
      <c r="B85" s="624"/>
      <c r="C85" s="625"/>
      <c r="D85" s="625"/>
      <c r="E85" s="625"/>
      <c r="F85" s="580"/>
      <c r="G85" s="147"/>
      <c r="H85" s="624"/>
      <c r="I85" s="625"/>
      <c r="J85" s="625"/>
      <c r="K85" s="625">
        <f>H29</f>
        <v>1032.9767668686852</v>
      </c>
      <c r="L85" s="648">
        <f>L29</f>
        <v>40.465215272154168</v>
      </c>
      <c r="M85" s="193"/>
      <c r="N85" s="85"/>
      <c r="O85" s="404"/>
      <c r="P85" s="404"/>
      <c r="Q85" s="404"/>
      <c r="R85" s="404"/>
      <c r="S85" s="404"/>
      <c r="T85" s="404"/>
      <c r="U85" s="404"/>
      <c r="V85" s="404"/>
      <c r="W85" s="404"/>
      <c r="X85" s="404"/>
      <c r="Y85" s="404"/>
      <c r="Z85" s="404"/>
      <c r="AA85" s="404"/>
      <c r="AB85" s="404"/>
      <c r="AC85" s="404"/>
      <c r="AD85" s="404"/>
      <c r="AE85" s="404"/>
      <c r="AF85" s="404"/>
      <c r="AG85" s="404"/>
      <c r="AH85" s="404"/>
      <c r="AI85" s="404"/>
      <c r="AJ85" s="404"/>
      <c r="AK85" s="404"/>
      <c r="AL85" s="412"/>
      <c r="AM85" s="421"/>
      <c r="AN85" s="412"/>
      <c r="AO85" s="404"/>
      <c r="AP85" s="404"/>
      <c r="AQ85" s="404"/>
      <c r="AR85" s="404"/>
      <c r="AS85" s="404"/>
      <c r="AT85" s="404"/>
      <c r="AU85" s="404"/>
      <c r="AV85" s="404"/>
      <c r="AW85" s="404"/>
      <c r="AX85" s="404"/>
      <c r="AY85" s="404"/>
      <c r="AZ85" s="404"/>
      <c r="BA85" s="404"/>
      <c r="BB85" s="404"/>
      <c r="BC85" s="404"/>
      <c r="BD85" s="404"/>
    </row>
    <row r="86" spans="1:56" s="138" customFormat="1" ht="105" customHeight="1" thickBot="1">
      <c r="A86" s="194" t="s">
        <v>105</v>
      </c>
      <c r="B86" s="150" t="s">
        <v>76</v>
      </c>
      <c r="C86" s="151" t="s">
        <v>77</v>
      </c>
      <c r="D86" s="150" t="s">
        <v>78</v>
      </c>
      <c r="E86" s="152" t="s">
        <v>79</v>
      </c>
      <c r="F86" s="153" t="s">
        <v>80</v>
      </c>
      <c r="G86" s="151" t="s">
        <v>81</v>
      </c>
      <c r="H86" s="153" t="s">
        <v>76</v>
      </c>
      <c r="I86" s="151" t="s">
        <v>82</v>
      </c>
      <c r="J86" s="150" t="s">
        <v>78</v>
      </c>
      <c r="K86" s="152" t="s">
        <v>79</v>
      </c>
      <c r="L86" s="153" t="s">
        <v>80</v>
      </c>
      <c r="M86" s="151" t="s">
        <v>81</v>
      </c>
      <c r="N86" s="154" t="s">
        <v>83</v>
      </c>
      <c r="O86" s="493" t="str">
        <f>O26</f>
        <v>eff</v>
      </c>
      <c r="P86" s="493" t="str">
        <f t="shared" ref="P86:AC86" si="26">P26</f>
        <v>cos fi</v>
      </c>
      <c r="Q86" s="493" t="str">
        <f t="shared" si="26"/>
        <v>Hz</v>
      </c>
      <c r="R86" s="493" t="str">
        <f t="shared" si="26"/>
        <v>rpm</v>
      </c>
      <c r="S86" s="493" t="str">
        <f t="shared" si="26"/>
        <v>rpm llisc.</v>
      </c>
      <c r="T86" s="493"/>
      <c r="U86" s="493" t="str">
        <f t="shared" si="26"/>
        <v>Nm S6</v>
      </c>
      <c r="V86" s="493" t="str">
        <f t="shared" si="26"/>
        <v>A S6</v>
      </c>
      <c r="W86" s="493" t="str">
        <f t="shared" si="26"/>
        <v>Alim</v>
      </c>
      <c r="X86" s="493" t="str">
        <f t="shared" si="26"/>
        <v>Nm lim</v>
      </c>
      <c r="Y86" s="493" t="str">
        <f t="shared" si="26"/>
        <v>rpm lim</v>
      </c>
      <c r="Z86" s="493" t="str">
        <f t="shared" si="26"/>
        <v>KW lim</v>
      </c>
      <c r="AA86" s="493" t="str">
        <f t="shared" si="26"/>
        <v>rpm lim KW s6</v>
      </c>
      <c r="AB86" s="493" t="str">
        <f t="shared" si="26"/>
        <v>rpm lim Nm s6</v>
      </c>
      <c r="AC86" s="493" t="str">
        <f t="shared" si="26"/>
        <v>rpm lim s1</v>
      </c>
      <c r="AD86" s="493" t="s">
        <v>234</v>
      </c>
      <c r="AE86" s="493"/>
      <c r="AF86" s="415"/>
      <c r="AG86" s="415"/>
      <c r="AH86" s="415"/>
      <c r="AI86" s="415"/>
      <c r="AJ86" s="415"/>
      <c r="AK86" s="415"/>
      <c r="AL86" s="415"/>
      <c r="AM86" s="415"/>
      <c r="AN86" s="404"/>
      <c r="AO86" s="404"/>
      <c r="AP86" s="404"/>
      <c r="AQ86" s="404"/>
      <c r="AR86" s="404"/>
      <c r="AS86" s="404"/>
      <c r="AT86" s="404"/>
      <c r="AU86" s="404"/>
      <c r="AV86" s="404"/>
      <c r="AW86" s="404"/>
      <c r="AX86" s="404"/>
      <c r="AY86" s="404"/>
      <c r="AZ86" s="404"/>
      <c r="BA86" s="404"/>
      <c r="BB86" s="404"/>
      <c r="BC86" s="404"/>
      <c r="BD86" s="404"/>
    </row>
    <row r="87" spans="1:56" s="104" customFormat="1" ht="24.95" customHeight="1" thickBot="1">
      <c r="A87" s="195" t="s">
        <v>237</v>
      </c>
      <c r="B87" s="196">
        <f>VLOOKUP($A$87,$A$27:$Y$40,2,FALSE)</f>
        <v>705</v>
      </c>
      <c r="C87" s="454">
        <f>VLOOKUP($A$87,$A$27:$Y$40,3,FALSE)</f>
        <v>99.215176532137278</v>
      </c>
      <c r="D87" s="455">
        <f>VLOOKUP($A$87,$A$27:$Y$40,4,FALSE)</f>
        <v>48.726102057177691</v>
      </c>
      <c r="E87" s="198">
        <f>VLOOKUP($A$87,$A$27:$Y$40,5,FALSE)</f>
        <v>660</v>
      </c>
      <c r="F87" s="199">
        <f>VLOOKUP($A$87,$A$27:$Y$40,6,FALSE)</f>
        <v>34</v>
      </c>
      <c r="G87" s="197">
        <f>VLOOKUP($A$87,$A$27:$Y$40,7,FALSE)</f>
        <v>2374.6188435189133</v>
      </c>
      <c r="H87" s="196">
        <f>VLOOKUP($A$87,$A$27:$Y$40,8,FALSE)</f>
        <v>1030.1526669240857</v>
      </c>
      <c r="I87" s="454">
        <f>VLOOKUP($A$87,$A$27:$Y$40,9,FALSE)</f>
        <v>132.28668625410214</v>
      </c>
      <c r="J87" s="455">
        <f>VLOOKUP($A$87,$A$27:$Y$40,10,FALSE)</f>
        <v>71.199041110662094</v>
      </c>
      <c r="K87" s="198">
        <f>VLOOKUP($A$87,$A$27:$Y$40,11,FALSE)</f>
        <v>660</v>
      </c>
      <c r="L87" s="199">
        <f>VLOOKUP($A$87,$A$27:$Y$40,12,FALSE)</f>
        <v>34.461209456629909</v>
      </c>
      <c r="M87" s="197">
        <f>VLOOKUP($A$87,$A$27:$Y$40,13,FALSE)</f>
        <v>1550.6854574668712</v>
      </c>
      <c r="N87" s="456">
        <f>VLOOKUP($A$87,$A$27:$Y$40,14,FALSE)</f>
        <v>55.668351044921167</v>
      </c>
      <c r="O87" s="499">
        <f>VLOOKUP($A$87,$A$27:$Y$40,15,FALSE)</f>
        <v>0.94113561784735777</v>
      </c>
      <c r="P87" s="499">
        <f>VLOOKUP($A$87,$A$27:$Y$40,16,FALSE)</f>
        <v>0.75320073041481272</v>
      </c>
      <c r="Q87" s="496">
        <f>VLOOKUP($A$87,$A$27:$Y$40,17,FALSE)</f>
        <v>34</v>
      </c>
      <c r="R87" s="496">
        <f>VLOOKUP($A$87,$A$27:$Y$40,18,FALSE)</f>
        <v>660</v>
      </c>
      <c r="S87" s="497">
        <f>VLOOKUP($A$87,$A$27:$Y$40,19,FALSE)</f>
        <v>20</v>
      </c>
      <c r="T87" s="496"/>
      <c r="U87" s="497">
        <f>VLOOKUP($A$87,$A$27:$Y$40,21,FALSE)</f>
        <v>1030.1526669240857</v>
      </c>
      <c r="V87" s="497">
        <f>VLOOKUP($A$87,$A$27:$Y$40,22,FALSE)</f>
        <v>132.28668625410214</v>
      </c>
      <c r="W87" s="496">
        <f>VLOOKUP($A$87,$A$27:$Y$40,23,FALSE)</f>
        <v>373.14465376136121</v>
      </c>
      <c r="X87" s="496">
        <f>VLOOKUP($A$87,$A$27:$Y$40,24,FALSE)</f>
        <v>3167.3633106771249</v>
      </c>
      <c r="Y87" s="497">
        <f>VLOOKUP($A$87,$A$27:$Y$40,25,FALSE)</f>
        <v>558.00075173112896</v>
      </c>
      <c r="Z87" s="496">
        <f>VLOOKUP($A$87,$A$27:$AD$40,26,FALSE)</f>
        <v>185.08076406848278</v>
      </c>
      <c r="AA87" s="497">
        <f>VLOOKUP($A$87,$A$27:$AD$40,27,FALSE)</f>
        <v>1550.6854574668712</v>
      </c>
      <c r="AB87" s="496">
        <f>VLOOKUP($A$87,$A$27:$AD$40,28,FALSE)</f>
        <v>986.82039569498818</v>
      </c>
      <c r="AC87" s="499">
        <f>VLOOKUP($A$87,$A$27:$AD$40,29,FALSE)</f>
        <v>2374.6188435189133</v>
      </c>
      <c r="AD87" s="499">
        <f>VLOOKUP($A$87,$A$27:$AD$40,30,FALSE)</f>
        <v>0.89</v>
      </c>
      <c r="AE87" s="102"/>
      <c r="AF87" s="102"/>
      <c r="AG87" s="102"/>
      <c r="AH87" s="102"/>
      <c r="AI87" s="102"/>
      <c r="AJ87" s="102"/>
      <c r="AK87" s="102"/>
      <c r="AL87" s="102"/>
      <c r="AM87" s="102"/>
      <c r="AN87" s="102"/>
      <c r="AO87" s="102"/>
      <c r="AP87" s="102"/>
      <c r="AQ87" s="102"/>
      <c r="AR87" s="102"/>
      <c r="AS87" s="102"/>
      <c r="AT87" s="102"/>
      <c r="AU87" s="102"/>
      <c r="AV87" s="102"/>
      <c r="AW87" s="102"/>
      <c r="AX87" s="102"/>
      <c r="AY87" s="102"/>
      <c r="AZ87" s="102"/>
      <c r="BA87" s="101"/>
      <c r="BB87" s="101"/>
      <c r="BC87" s="101"/>
      <c r="BD87" s="101"/>
    </row>
    <row r="88" spans="1:56" ht="19.5" customHeight="1" thickBot="1">
      <c r="A88" s="200" t="str">
        <f>IF(O87=0,"ESTE BOBINADO NO EXISTE   /   THIS WINDING DOESN'T EXIST","")</f>
        <v/>
      </c>
      <c r="B88" s="201"/>
      <c r="C88" s="201"/>
      <c r="D88" s="201"/>
      <c r="E88" s="201"/>
      <c r="F88" s="201"/>
      <c r="G88" s="201"/>
      <c r="H88" s="201"/>
      <c r="I88" s="201"/>
      <c r="J88" s="201"/>
      <c r="K88" s="201"/>
      <c r="L88" s="201"/>
      <c r="M88" s="201"/>
      <c r="N88" s="201"/>
      <c r="O88" s="522"/>
      <c r="P88" s="523"/>
      <c r="Q88" s="523"/>
      <c r="R88" s="524"/>
      <c r="S88" s="525"/>
      <c r="T88" s="526"/>
      <c r="U88" s="527"/>
      <c r="V88" s="527"/>
      <c r="W88" s="527"/>
      <c r="X88" s="526"/>
      <c r="Y88" s="73"/>
      <c r="Z88" s="73"/>
      <c r="AA88" s="73"/>
      <c r="AB88" s="73"/>
      <c r="AC88" s="73"/>
      <c r="AD88" s="73"/>
      <c r="AE88" s="73"/>
      <c r="AF88" s="73"/>
      <c r="AG88" s="73"/>
      <c r="AH88" s="205"/>
      <c r="AI88" s="205"/>
      <c r="AJ88" s="205"/>
      <c r="AK88" s="205"/>
      <c r="AL88" s="205"/>
      <c r="AM88" s="205"/>
      <c r="AN88" s="205"/>
      <c r="AO88" s="205"/>
      <c r="AP88" s="205"/>
      <c r="AQ88" s="205"/>
      <c r="AR88" s="205"/>
      <c r="AS88" s="205"/>
      <c r="AT88" s="205"/>
      <c r="AU88" s="205"/>
      <c r="AV88" s="205"/>
      <c r="AW88" s="205"/>
      <c r="AX88" s="205"/>
      <c r="AY88" s="205"/>
      <c r="AZ88" s="205"/>
    </row>
    <row r="89" spans="1:56" ht="15" customHeight="1">
      <c r="A89" s="649" t="s">
        <v>106</v>
      </c>
      <c r="B89" s="650"/>
      <c r="C89" s="651"/>
      <c r="D89" s="201"/>
      <c r="E89" s="201"/>
      <c r="F89" s="201"/>
      <c r="G89" s="201"/>
      <c r="H89" s="201"/>
      <c r="I89" s="201"/>
      <c r="J89" s="201"/>
      <c r="K89" s="201"/>
      <c r="L89" s="201"/>
      <c r="M89" s="201"/>
      <c r="N89" s="201"/>
      <c r="O89" s="528"/>
      <c r="P89" s="523"/>
      <c r="Q89" s="523"/>
      <c r="R89" s="523"/>
      <c r="S89" s="525"/>
      <c r="T89" s="526"/>
      <c r="U89" s="527"/>
      <c r="V89" s="527"/>
      <c r="W89" s="527"/>
      <c r="X89" s="526"/>
      <c r="Y89" s="73"/>
      <c r="Z89" s="73"/>
      <c r="AA89" s="73"/>
      <c r="AB89" s="73"/>
      <c r="AC89" s="73"/>
      <c r="AD89" s="73"/>
      <c r="AE89" s="73"/>
    </row>
    <row r="90" spans="1:56" ht="15" customHeight="1" thickBot="1">
      <c r="A90" s="652"/>
      <c r="B90" s="653"/>
      <c r="C90" s="654"/>
      <c r="D90" s="201"/>
      <c r="E90" s="201"/>
      <c r="F90" s="201"/>
      <c r="G90" s="201"/>
      <c r="H90" s="201"/>
      <c r="I90" s="201"/>
      <c r="J90" s="201"/>
      <c r="K90" s="201"/>
      <c r="L90" s="201"/>
      <c r="M90" s="201"/>
      <c r="N90" s="201"/>
      <c r="O90" s="529"/>
      <c r="P90" s="530"/>
      <c r="Q90" s="530"/>
      <c r="R90" s="531"/>
      <c r="S90" s="525"/>
      <c r="T90" s="526"/>
      <c r="U90" s="527"/>
      <c r="V90" s="527"/>
      <c r="W90" s="527"/>
      <c r="X90" s="526"/>
      <c r="Y90" s="73"/>
      <c r="Z90" s="73"/>
      <c r="AA90" s="73"/>
      <c r="AB90" s="73"/>
      <c r="AC90" s="73"/>
      <c r="AD90" s="73"/>
      <c r="AE90" s="73"/>
    </row>
    <row r="91" spans="1:56" ht="15" customHeight="1" thickBot="1">
      <c r="A91" s="370" t="s">
        <v>79</v>
      </c>
      <c r="B91" s="370" t="s">
        <v>107</v>
      </c>
      <c r="C91" s="370" t="s">
        <v>108</v>
      </c>
      <c r="D91" s="201"/>
      <c r="E91" s="201"/>
      <c r="F91" s="201"/>
      <c r="G91" s="201"/>
      <c r="H91" s="201"/>
      <c r="I91" s="201"/>
      <c r="J91" s="201"/>
      <c r="K91" s="201"/>
      <c r="L91" s="201"/>
      <c r="M91" s="201"/>
      <c r="N91" s="201"/>
      <c r="O91" s="529"/>
      <c r="P91" s="522"/>
      <c r="Q91" s="522"/>
      <c r="R91" s="532"/>
      <c r="S91" s="525"/>
      <c r="T91" s="526"/>
      <c r="U91" s="527"/>
      <c r="V91" s="527"/>
      <c r="W91" s="527"/>
      <c r="X91" s="526"/>
      <c r="Y91" s="73"/>
      <c r="Z91" s="73"/>
      <c r="AA91" s="73"/>
      <c r="AB91" s="73"/>
      <c r="AC91" s="73"/>
      <c r="AD91" s="73"/>
      <c r="AE91" s="73"/>
    </row>
    <row r="92" spans="1:56" ht="15" customHeight="1">
      <c r="A92" s="371"/>
      <c r="B92" s="372"/>
      <c r="C92" s="373"/>
      <c r="D92" s="201"/>
      <c r="E92" s="201"/>
      <c r="F92" s="201"/>
      <c r="G92" s="201"/>
      <c r="H92" s="201"/>
      <c r="I92" s="201"/>
      <c r="J92" s="201"/>
      <c r="K92" s="201"/>
      <c r="L92" s="201"/>
      <c r="M92" s="201"/>
      <c r="N92" s="201"/>
      <c r="O92" s="529"/>
      <c r="P92" s="522"/>
      <c r="Q92" s="522"/>
      <c r="R92" s="532"/>
      <c r="S92" s="525"/>
      <c r="T92" s="526"/>
      <c r="U92" s="527"/>
      <c r="V92" s="527"/>
      <c r="W92" s="527"/>
      <c r="X92" s="526"/>
      <c r="Y92" s="73"/>
      <c r="Z92" s="73"/>
      <c r="AA92" s="73"/>
      <c r="AB92" s="73"/>
      <c r="AC92" s="73"/>
      <c r="AD92" s="73"/>
      <c r="AE92" s="73"/>
    </row>
    <row r="93" spans="1:56" ht="15" customHeight="1">
      <c r="A93" s="374"/>
      <c r="B93" s="375"/>
      <c r="C93" s="376"/>
      <c r="D93" s="201"/>
      <c r="E93" s="201"/>
      <c r="F93" s="201"/>
      <c r="G93" s="201"/>
      <c r="H93" s="201"/>
      <c r="I93" s="201"/>
      <c r="J93" s="201"/>
      <c r="K93" s="201"/>
      <c r="L93" s="201"/>
      <c r="M93" s="201"/>
      <c r="N93" s="201"/>
      <c r="O93" s="529"/>
      <c r="P93" s="522"/>
      <c r="Q93" s="522"/>
      <c r="R93" s="531"/>
      <c r="S93" s="525"/>
      <c r="T93" s="526"/>
      <c r="U93" s="527"/>
      <c r="V93" s="527"/>
      <c r="W93" s="527"/>
      <c r="X93" s="526"/>
      <c r="Y93" s="526"/>
      <c r="Z93" s="526"/>
      <c r="AA93" s="526"/>
      <c r="AB93" s="73"/>
      <c r="AC93" s="73"/>
      <c r="AD93" s="73"/>
      <c r="AE93" s="73"/>
    </row>
    <row r="94" spans="1:56" ht="15" customHeight="1">
      <c r="A94" s="374"/>
      <c r="B94" s="375"/>
      <c r="C94" s="376"/>
      <c r="D94" s="201"/>
      <c r="E94" s="201"/>
      <c r="F94" s="201"/>
      <c r="G94" s="201"/>
      <c r="H94" s="201"/>
      <c r="I94" s="201"/>
      <c r="J94" s="201"/>
      <c r="K94" s="201"/>
      <c r="L94" s="201"/>
      <c r="M94" s="201"/>
      <c r="O94" s="529"/>
      <c r="P94" s="530"/>
      <c r="Q94" s="533"/>
      <c r="R94" s="534"/>
      <c r="S94" s="525"/>
      <c r="T94" s="526"/>
      <c r="U94" s="527"/>
      <c r="V94" s="527"/>
      <c r="W94" s="535"/>
      <c r="X94" s="526"/>
      <c r="Y94" s="526"/>
      <c r="Z94" s="526"/>
      <c r="AA94" s="526"/>
      <c r="AB94" s="73"/>
      <c r="AC94" s="73"/>
      <c r="AD94" s="73"/>
      <c r="AE94" s="73"/>
    </row>
    <row r="95" spans="1:56" ht="15" customHeight="1">
      <c r="A95" s="374"/>
      <c r="B95" s="375"/>
      <c r="C95" s="376"/>
      <c r="D95" s="76"/>
      <c r="F95" s="76"/>
      <c r="I95" s="76"/>
      <c r="J95" s="76"/>
      <c r="L95" s="76"/>
      <c r="N95" s="202"/>
      <c r="O95" s="529"/>
      <c r="P95" s="533"/>
      <c r="Q95" s="534"/>
      <c r="R95" s="534"/>
      <c r="S95" s="525"/>
      <c r="T95" s="526"/>
      <c r="U95" s="527"/>
      <c r="V95" s="527"/>
      <c r="W95" s="527"/>
      <c r="X95" s="526"/>
      <c r="Y95" s="526"/>
      <c r="Z95" s="526"/>
      <c r="AA95" s="526"/>
      <c r="AB95" s="73"/>
      <c r="AC95" s="73"/>
      <c r="AD95" s="73"/>
      <c r="AE95" s="73"/>
    </row>
    <row r="96" spans="1:56" ht="15" customHeight="1">
      <c r="A96" s="374"/>
      <c r="B96" s="375"/>
      <c r="C96" s="376"/>
      <c r="D96" s="202"/>
      <c r="E96" s="202"/>
      <c r="F96" s="202"/>
      <c r="G96" s="202"/>
      <c r="H96" s="202"/>
      <c r="I96" s="202"/>
      <c r="J96" s="202"/>
      <c r="K96" s="202"/>
      <c r="L96" s="202"/>
      <c r="M96" s="202"/>
      <c r="O96" s="529"/>
      <c r="P96" s="522"/>
      <c r="Q96" s="531"/>
      <c r="R96" s="536"/>
      <c r="S96" s="525"/>
      <c r="T96" s="526"/>
      <c r="U96" s="526"/>
      <c r="V96" s="526"/>
      <c r="W96" s="527"/>
      <c r="X96" s="526"/>
      <c r="Y96" s="526"/>
      <c r="Z96" s="526"/>
      <c r="AA96" s="526"/>
      <c r="AB96" s="73"/>
      <c r="AC96" s="73"/>
      <c r="AD96" s="73"/>
      <c r="AE96" s="73"/>
    </row>
    <row r="97" spans="1:31" ht="15" customHeight="1">
      <c r="A97" s="374"/>
      <c r="B97" s="375"/>
      <c r="C97" s="376"/>
      <c r="D97" s="76"/>
      <c r="F97" s="76"/>
      <c r="I97" s="76"/>
      <c r="J97" s="76"/>
      <c r="L97" s="76"/>
      <c r="O97" s="537"/>
      <c r="P97" s="534"/>
      <c r="Q97" s="529"/>
      <c r="R97" s="538"/>
      <c r="S97" s="526"/>
      <c r="T97" s="526"/>
      <c r="U97" s="526"/>
      <c r="V97" s="526"/>
      <c r="W97" s="527"/>
      <c r="X97" s="526"/>
      <c r="Y97" s="526"/>
      <c r="Z97" s="526"/>
      <c r="AA97" s="526"/>
      <c r="AB97" s="73"/>
      <c r="AC97" s="73"/>
      <c r="AD97" s="73"/>
      <c r="AE97" s="73"/>
    </row>
    <row r="98" spans="1:31" ht="15" customHeight="1">
      <c r="A98" s="374"/>
      <c r="B98" s="375"/>
      <c r="C98" s="376"/>
      <c r="D98" s="76"/>
      <c r="F98" s="76"/>
      <c r="I98" s="76"/>
      <c r="J98" s="76"/>
      <c r="L98" s="76"/>
      <c r="O98" s="522"/>
      <c r="P98" s="522"/>
      <c r="Q98" s="530"/>
      <c r="R98" s="539"/>
      <c r="S98" s="540"/>
      <c r="T98" s="541"/>
      <c r="U98" s="539"/>
      <c r="V98" s="539"/>
      <c r="W98" s="527"/>
      <c r="X98" s="526"/>
      <c r="Y98" s="526"/>
      <c r="Z98" s="526"/>
      <c r="AA98" s="526"/>
      <c r="AB98" s="73"/>
      <c r="AC98" s="73"/>
      <c r="AD98" s="73"/>
      <c r="AE98" s="73"/>
    </row>
    <row r="99" spans="1:31" ht="15" customHeight="1">
      <c r="A99" s="374"/>
      <c r="B99" s="375"/>
      <c r="C99" s="376"/>
      <c r="D99" s="76"/>
      <c r="F99" s="76"/>
      <c r="I99" s="76"/>
      <c r="J99" s="76"/>
      <c r="L99" s="76"/>
      <c r="O99" s="526"/>
      <c r="P99" s="73" t="s">
        <v>109</v>
      </c>
      <c r="Q99" s="73" t="s">
        <v>261</v>
      </c>
      <c r="R99" s="73" t="s">
        <v>110</v>
      </c>
      <c r="S99" s="73" t="s">
        <v>111</v>
      </c>
      <c r="T99" s="73" t="s">
        <v>112</v>
      </c>
      <c r="U99" s="73" t="s">
        <v>87</v>
      </c>
      <c r="V99" s="73" t="s">
        <v>113</v>
      </c>
      <c r="W99" s="501" t="s">
        <v>114</v>
      </c>
      <c r="X99" s="73" t="s">
        <v>115</v>
      </c>
      <c r="Y99" s="73"/>
      <c r="Z99" s="73"/>
      <c r="AA99" s="526"/>
      <c r="AB99" s="73"/>
      <c r="AC99" s="73"/>
      <c r="AD99" s="73"/>
      <c r="AE99" s="73"/>
    </row>
    <row r="100" spans="1:31" ht="15" customHeight="1">
      <c r="A100" s="374"/>
      <c r="B100" s="375"/>
      <c r="C100" s="376"/>
      <c r="D100" s="76"/>
      <c r="F100" s="76"/>
      <c r="I100" s="76"/>
      <c r="J100" s="76"/>
      <c r="L100" s="76"/>
      <c r="O100" s="526"/>
      <c r="P100" s="498">
        <v>10</v>
      </c>
      <c r="Q100" s="500">
        <f>IF($D$87&lt;W100*0.9,$D$87,W100*0.9)</f>
        <v>0.20006480869007753</v>
      </c>
      <c r="R100" s="500">
        <f>B87</f>
        <v>705</v>
      </c>
      <c r="S100" s="498">
        <f>P100</f>
        <v>10</v>
      </c>
      <c r="T100" s="500">
        <f>U100*V100*PI()/30000</f>
        <v>1.0787733501615469</v>
      </c>
      <c r="U100" s="500">
        <f>H87</f>
        <v>1030.1526669240857</v>
      </c>
      <c r="V100" s="498">
        <f>P100</f>
        <v>10</v>
      </c>
      <c r="W100" s="498">
        <f>X100*V100*PI()/30000</f>
        <v>0.22229423187786393</v>
      </c>
      <c r="X100" s="500">
        <v>212.27535494506813</v>
      </c>
      <c r="Y100" s="73"/>
      <c r="Z100" s="73"/>
      <c r="AA100" s="526"/>
      <c r="AB100" s="73"/>
      <c r="AC100" s="73"/>
      <c r="AD100" s="73"/>
      <c r="AE100" s="73"/>
    </row>
    <row r="101" spans="1:31" ht="15" customHeight="1">
      <c r="A101" s="374"/>
      <c r="B101" s="375"/>
      <c r="C101" s="376"/>
      <c r="D101" s="76"/>
      <c r="F101" s="76"/>
      <c r="I101" s="76"/>
      <c r="J101" s="76"/>
      <c r="L101" s="76"/>
      <c r="O101" s="526"/>
      <c r="P101" s="498">
        <f>E87</f>
        <v>660</v>
      </c>
      <c r="Q101" s="500">
        <f>R101*P101*PI()/30000</f>
        <v>48.726102057177691</v>
      </c>
      <c r="R101" s="500">
        <f>B87</f>
        <v>705</v>
      </c>
      <c r="S101" s="498">
        <f>K87</f>
        <v>660</v>
      </c>
      <c r="T101" s="500">
        <f>U101*S101*PI()/30000</f>
        <v>71.199041110662094</v>
      </c>
      <c r="U101" s="500">
        <f>H87</f>
        <v>1030.1526669240857</v>
      </c>
      <c r="V101" s="498">
        <f>Y87</f>
        <v>558.00075173112896</v>
      </c>
      <c r="W101" s="498">
        <f t="shared" ref="W101:W131" si="27">X101*V101*PI()/30000</f>
        <v>12.404034849334197</v>
      </c>
      <c r="X101" s="500">
        <f>X100</f>
        <v>212.27535494506813</v>
      </c>
      <c r="Y101" s="73"/>
      <c r="Z101" s="73"/>
      <c r="AA101" s="526"/>
      <c r="AB101" s="73"/>
      <c r="AC101" s="73"/>
      <c r="AD101" s="73"/>
      <c r="AE101" s="73"/>
    </row>
    <row r="102" spans="1:31" ht="15" customHeight="1">
      <c r="A102" s="374"/>
      <c r="B102" s="375"/>
      <c r="C102" s="376"/>
      <c r="D102" s="76"/>
      <c r="F102" s="76"/>
      <c r="I102" s="76"/>
      <c r="J102" s="76"/>
      <c r="L102" s="76"/>
      <c r="O102" s="526"/>
      <c r="P102" s="498">
        <f>P101</f>
        <v>660</v>
      </c>
      <c r="Q102" s="500">
        <f>R102*P102*PI()/30000</f>
        <v>48.726102057177691</v>
      </c>
      <c r="R102" s="500">
        <f t="shared" ref="R102:R111" si="28">R101*P101/P102</f>
        <v>705</v>
      </c>
      <c r="S102" s="498">
        <f>S101</f>
        <v>660</v>
      </c>
      <c r="T102" s="500">
        <f>U102*S102*PI()/30000</f>
        <v>71.199041110662094</v>
      </c>
      <c r="U102" s="500">
        <f t="shared" ref="U102:U111" si="29">U101*S101/S102</f>
        <v>1030.1526669240857</v>
      </c>
      <c r="V102" s="498">
        <f>V101</f>
        <v>558.00075173112896</v>
      </c>
      <c r="W102" s="498">
        <f t="shared" si="27"/>
        <v>12.404034849334197</v>
      </c>
      <c r="X102" s="500">
        <f>X101</f>
        <v>212.27535494506813</v>
      </c>
      <c r="Y102" s="73"/>
      <c r="Z102" s="73"/>
      <c r="AA102" s="526"/>
      <c r="AB102" s="73"/>
      <c r="AC102" s="73"/>
      <c r="AD102" s="73"/>
      <c r="AE102" s="73"/>
    </row>
    <row r="103" spans="1:31" ht="15" customHeight="1">
      <c r="A103" s="374"/>
      <c r="B103" s="375"/>
      <c r="C103" s="376"/>
      <c r="D103" s="76"/>
      <c r="F103" s="76"/>
      <c r="I103" s="76"/>
      <c r="J103" s="76"/>
      <c r="L103" s="76"/>
      <c r="O103" s="526"/>
      <c r="P103" s="498">
        <f>P102+($P$112-$P$102)/10</f>
        <v>831.46188435189129</v>
      </c>
      <c r="Q103" s="500">
        <f t="shared" ref="Q103:Q111" si="30">R103*P103*PI()/30000</f>
        <v>48.726102057177698</v>
      </c>
      <c r="R103" s="500">
        <f t="shared" si="28"/>
        <v>559.61675304297626</v>
      </c>
      <c r="S103" s="498">
        <f t="shared" ref="S103:S110" si="31">S102+($S$112-$S$102)/10</f>
        <v>749.06854574668716</v>
      </c>
      <c r="T103" s="500">
        <f t="shared" ref="T103:T111" si="32">U103*S103*PI()/30000</f>
        <v>71.199041110662094</v>
      </c>
      <c r="U103" s="500">
        <f t="shared" si="29"/>
        <v>907.66160724604617</v>
      </c>
      <c r="V103" s="498">
        <f t="shared" ref="V103:V131" si="33">IF(V102*1.1&gt;MIN($L$13,$D$112),MIN($L$13,$D$112),V102*1.1)</f>
        <v>613.80082690424194</v>
      </c>
      <c r="W103" s="498">
        <f t="shared" si="27"/>
        <v>11.395240300688428</v>
      </c>
      <c r="X103" s="500">
        <f t="shared" ref="X103:X130" si="34">X102*(V102/V103)^(1+$AD$87)</f>
        <v>177.28312593402327</v>
      </c>
      <c r="Y103" s="73"/>
      <c r="Z103" s="73"/>
      <c r="AA103" s="526"/>
      <c r="AB103" s="73"/>
      <c r="AC103" s="73"/>
      <c r="AD103" s="73"/>
      <c r="AE103" s="73"/>
    </row>
    <row r="104" spans="1:31" ht="15" customHeight="1">
      <c r="A104" s="374"/>
      <c r="B104" s="375"/>
      <c r="C104" s="376"/>
      <c r="D104" s="76"/>
      <c r="F104" s="76"/>
      <c r="I104" s="76"/>
      <c r="J104" s="76"/>
      <c r="L104" s="76"/>
      <c r="O104" s="526"/>
      <c r="P104" s="498">
        <f t="shared" ref="P104:P111" si="35">P103+($P$112-$P$102)/10</f>
        <v>1002.9237687037826</v>
      </c>
      <c r="Q104" s="500">
        <f t="shared" si="30"/>
        <v>48.726102057177698</v>
      </c>
      <c r="R104" s="500">
        <f t="shared" si="28"/>
        <v>463.94353640792832</v>
      </c>
      <c r="S104" s="498">
        <f t="shared" si="31"/>
        <v>838.13709149337433</v>
      </c>
      <c r="T104" s="500">
        <f t="shared" si="32"/>
        <v>71.199041110662094</v>
      </c>
      <c r="U104" s="500">
        <f t="shared" si="29"/>
        <v>811.20471468273081</v>
      </c>
      <c r="V104" s="498">
        <f t="shared" si="33"/>
        <v>675.18090959466622</v>
      </c>
      <c r="W104" s="498">
        <f t="shared" si="27"/>
        <v>10.468488930229315</v>
      </c>
      <c r="X104" s="500">
        <f t="shared" si="34"/>
        <v>148.05914115216964</v>
      </c>
      <c r="Y104" s="73"/>
      <c r="Z104" s="73"/>
      <c r="AA104" s="526"/>
      <c r="AB104" s="73"/>
      <c r="AC104" s="73"/>
      <c r="AD104" s="73"/>
      <c r="AE104" s="73"/>
    </row>
    <row r="105" spans="1:31" ht="15" customHeight="1">
      <c r="A105" s="374"/>
      <c r="B105" s="375"/>
      <c r="C105" s="376"/>
      <c r="D105" s="76"/>
      <c r="F105" s="76"/>
      <c r="I105" s="76"/>
      <c r="J105" s="76"/>
      <c r="L105" s="76"/>
      <c r="O105" s="526"/>
      <c r="P105" s="498">
        <f t="shared" si="35"/>
        <v>1174.3856530556739</v>
      </c>
      <c r="Q105" s="500">
        <f t="shared" si="30"/>
        <v>48.726102057177698</v>
      </c>
      <c r="R105" s="500">
        <f t="shared" si="28"/>
        <v>396.20715630280409</v>
      </c>
      <c r="S105" s="498">
        <f t="shared" si="31"/>
        <v>927.20563724006149</v>
      </c>
      <c r="T105" s="500">
        <f t="shared" si="32"/>
        <v>71.199041110662094</v>
      </c>
      <c r="U105" s="500">
        <f t="shared" si="29"/>
        <v>733.27936421277866</v>
      </c>
      <c r="V105" s="498">
        <f t="shared" si="33"/>
        <v>742.69900055413291</v>
      </c>
      <c r="W105" s="498">
        <f t="shared" si="27"/>
        <v>9.6171083356366811</v>
      </c>
      <c r="X105" s="500">
        <f t="shared" si="34"/>
        <v>123.65254258251451</v>
      </c>
      <c r="Y105" s="73"/>
      <c r="Z105" s="73"/>
      <c r="AA105" s="526"/>
      <c r="AB105" s="73"/>
      <c r="AC105" s="73"/>
      <c r="AD105" s="73"/>
      <c r="AE105" s="73"/>
    </row>
    <row r="106" spans="1:31" ht="15" customHeight="1">
      <c r="A106" s="374"/>
      <c r="B106" s="375"/>
      <c r="C106" s="376"/>
      <c r="D106" s="76"/>
      <c r="F106" s="76"/>
      <c r="I106" s="76"/>
      <c r="J106" s="76"/>
      <c r="L106" s="76"/>
      <c r="N106" s="92"/>
      <c r="O106" s="526"/>
      <c r="P106" s="498">
        <f t="shared" si="35"/>
        <v>1345.8475374075651</v>
      </c>
      <c r="Q106" s="500">
        <f t="shared" si="30"/>
        <v>48.726102057177705</v>
      </c>
      <c r="R106" s="500">
        <f t="shared" si="28"/>
        <v>345.73009725624854</v>
      </c>
      <c r="S106" s="498">
        <f t="shared" si="31"/>
        <v>1016.2741829867487</v>
      </c>
      <c r="T106" s="500">
        <f t="shared" si="32"/>
        <v>71.199041110662094</v>
      </c>
      <c r="U106" s="500">
        <f t="shared" si="29"/>
        <v>669.01311826275321</v>
      </c>
      <c r="V106" s="498">
        <f t="shared" si="33"/>
        <v>816.96890060954627</v>
      </c>
      <c r="W106" s="498">
        <f t="shared" si="27"/>
        <v>8.8349687672972035</v>
      </c>
      <c r="X106" s="500">
        <f t="shared" si="34"/>
        <v>103.26921504566965</v>
      </c>
      <c r="Y106" s="73"/>
      <c r="Z106" s="73"/>
      <c r="AA106" s="526"/>
      <c r="AB106" s="73"/>
      <c r="AC106" s="73"/>
      <c r="AD106" s="73"/>
      <c r="AE106" s="73"/>
    </row>
    <row r="107" spans="1:31" ht="15" customHeight="1">
      <c r="A107" s="374"/>
      <c r="B107" s="375"/>
      <c r="C107" s="376"/>
      <c r="D107" s="76"/>
      <c r="F107" s="76"/>
      <c r="I107" s="76"/>
      <c r="J107" s="76"/>
      <c r="L107" s="76"/>
      <c r="N107" s="92"/>
      <c r="O107" s="526"/>
      <c r="P107" s="498">
        <f t="shared" si="35"/>
        <v>1517.3094217594564</v>
      </c>
      <c r="Q107" s="500">
        <f t="shared" si="30"/>
        <v>48.726102057177705</v>
      </c>
      <c r="R107" s="500">
        <f t="shared" si="28"/>
        <v>306.66124742074231</v>
      </c>
      <c r="S107" s="498">
        <f t="shared" si="31"/>
        <v>1105.3427287334357</v>
      </c>
      <c r="T107" s="500">
        <f t="shared" si="32"/>
        <v>71.199041110662094</v>
      </c>
      <c r="U107" s="500">
        <f t="shared" si="29"/>
        <v>615.1040238433244</v>
      </c>
      <c r="V107" s="498">
        <f t="shared" si="33"/>
        <v>898.665790670501</v>
      </c>
      <c r="W107" s="498">
        <f t="shared" si="27"/>
        <v>8.1164389954799745</v>
      </c>
      <c r="X107" s="500">
        <f t="shared" si="34"/>
        <v>86.245948149689042</v>
      </c>
      <c r="Y107" s="73"/>
      <c r="Z107" s="73"/>
      <c r="AA107" s="526"/>
      <c r="AB107" s="73"/>
      <c r="AC107" s="73"/>
      <c r="AD107" s="73"/>
      <c r="AE107" s="73"/>
    </row>
    <row r="108" spans="1:31" ht="15" customHeight="1">
      <c r="A108" s="374"/>
      <c r="B108" s="375"/>
      <c r="C108" s="376"/>
      <c r="D108" s="76"/>
      <c r="F108" s="76"/>
      <c r="I108" s="76"/>
      <c r="J108" s="76"/>
      <c r="L108" s="76"/>
      <c r="O108" s="526"/>
      <c r="P108" s="498">
        <f t="shared" si="35"/>
        <v>1688.7713061113477</v>
      </c>
      <c r="Q108" s="500">
        <f t="shared" si="30"/>
        <v>48.726102057177705</v>
      </c>
      <c r="R108" s="500">
        <f t="shared" si="28"/>
        <v>275.52576143150134</v>
      </c>
      <c r="S108" s="498">
        <f t="shared" si="31"/>
        <v>1194.4112744801228</v>
      </c>
      <c r="T108" s="500">
        <f t="shared" si="32"/>
        <v>71.199041110662094</v>
      </c>
      <c r="U108" s="500">
        <f t="shared" si="29"/>
        <v>569.23504884515501</v>
      </c>
      <c r="V108" s="498">
        <f t="shared" si="33"/>
        <v>988.53236973755122</v>
      </c>
      <c r="W108" s="498">
        <f t="shared" si="27"/>
        <v>7.4563457667435493</v>
      </c>
      <c r="X108" s="500">
        <f t="shared" si="34"/>
        <v>72.028857476541461</v>
      </c>
      <c r="Y108" s="73"/>
      <c r="Z108" s="73"/>
      <c r="AA108" s="526"/>
      <c r="AB108" s="73"/>
      <c r="AC108" s="73"/>
      <c r="AD108" s="73"/>
      <c r="AE108" s="73"/>
    </row>
    <row r="109" spans="1:31" ht="15" customHeight="1">
      <c r="A109" s="374"/>
      <c r="B109" s="375"/>
      <c r="C109" s="376"/>
      <c r="D109" s="76"/>
      <c r="F109" s="76"/>
      <c r="I109" s="76"/>
      <c r="J109" s="76"/>
      <c r="L109" s="76"/>
      <c r="O109" s="526"/>
      <c r="P109" s="498">
        <f t="shared" si="35"/>
        <v>1860.233190463239</v>
      </c>
      <c r="Q109" s="500">
        <f t="shared" si="30"/>
        <v>48.726102057177705</v>
      </c>
      <c r="R109" s="500">
        <f t="shared" si="28"/>
        <v>250.12993122874568</v>
      </c>
      <c r="S109" s="498">
        <f t="shared" si="31"/>
        <v>1283.4798202268098</v>
      </c>
      <c r="T109" s="500">
        <f t="shared" si="32"/>
        <v>71.199041110662094</v>
      </c>
      <c r="U109" s="500">
        <f t="shared" si="29"/>
        <v>529.73233350076987</v>
      </c>
      <c r="V109" s="498">
        <f t="shared" si="33"/>
        <v>1087.3856067113065</v>
      </c>
      <c r="W109" s="498">
        <f t="shared" si="27"/>
        <v>6.8499365576697286</v>
      </c>
      <c r="X109" s="500">
        <f t="shared" si="34"/>
        <v>60.15536289741199</v>
      </c>
      <c r="Y109" s="73"/>
      <c r="Z109" s="73"/>
      <c r="AA109" s="526"/>
      <c r="AB109" s="73"/>
      <c r="AC109" s="73"/>
      <c r="AD109" s="73"/>
      <c r="AE109" s="73"/>
    </row>
    <row r="110" spans="1:31" ht="15" customHeight="1">
      <c r="A110" s="374"/>
      <c r="B110" s="375"/>
      <c r="C110" s="376"/>
      <c r="D110" s="76"/>
      <c r="F110" s="76"/>
      <c r="I110" s="76"/>
      <c r="J110" s="76"/>
      <c r="L110" s="76"/>
      <c r="O110" s="526"/>
      <c r="P110" s="498">
        <f t="shared" si="35"/>
        <v>2031.6950748151303</v>
      </c>
      <c r="Q110" s="500">
        <f t="shared" si="30"/>
        <v>48.726102057177705</v>
      </c>
      <c r="R110" s="500">
        <f t="shared" si="28"/>
        <v>229.02058766980034</v>
      </c>
      <c r="S110" s="498">
        <f t="shared" si="31"/>
        <v>1372.5483659734969</v>
      </c>
      <c r="T110" s="500">
        <f t="shared" si="32"/>
        <v>71.199041110662094</v>
      </c>
      <c r="U110" s="500">
        <f t="shared" si="29"/>
        <v>495.35650402211405</v>
      </c>
      <c r="V110" s="498">
        <f t="shared" si="33"/>
        <v>1196.1241673824372</v>
      </c>
      <c r="W110" s="498">
        <f t="shared" si="27"/>
        <v>6.2928453577592824</v>
      </c>
      <c r="X110" s="500">
        <f t="shared" si="34"/>
        <v>50.239137646989171</v>
      </c>
      <c r="Y110" s="73"/>
      <c r="Z110" s="73"/>
      <c r="AA110" s="526"/>
      <c r="AB110" s="73"/>
      <c r="AC110" s="73"/>
      <c r="AD110" s="73"/>
      <c r="AE110" s="73"/>
    </row>
    <row r="111" spans="1:31" ht="15" customHeight="1" thickBot="1">
      <c r="A111" s="377"/>
      <c r="B111" s="378"/>
      <c r="C111" s="379"/>
      <c r="D111" s="76"/>
      <c r="F111" s="76"/>
      <c r="I111" s="76"/>
      <c r="J111" s="76"/>
      <c r="L111" s="76"/>
      <c r="O111" s="526"/>
      <c r="P111" s="498">
        <f t="shared" si="35"/>
        <v>2203.1569591670218</v>
      </c>
      <c r="Q111" s="500">
        <f t="shared" si="30"/>
        <v>48.726102057177705</v>
      </c>
      <c r="R111" s="500">
        <f t="shared" si="28"/>
        <v>211.19693631629522</v>
      </c>
      <c r="S111" s="498">
        <f>S110+($S$112-$S$102)/10</f>
        <v>1461.6169117201839</v>
      </c>
      <c r="T111" s="500">
        <f t="shared" si="32"/>
        <v>71.199041110662094</v>
      </c>
      <c r="U111" s="500">
        <f t="shared" si="29"/>
        <v>465.17028827322343</v>
      </c>
      <c r="V111" s="498">
        <f t="shared" si="33"/>
        <v>1315.7365841206811</v>
      </c>
      <c r="W111" s="498">
        <f t="shared" si="27"/>
        <v>5.7810612351341231</v>
      </c>
      <c r="X111" s="500">
        <f t="shared" si="34"/>
        <v>41.957538446197475</v>
      </c>
      <c r="Y111" s="73"/>
      <c r="Z111" s="73"/>
      <c r="AA111" s="526"/>
      <c r="AB111" s="73"/>
      <c r="AC111" s="73"/>
      <c r="AD111" s="73"/>
      <c r="AE111" s="73"/>
    </row>
    <row r="112" spans="1:31" ht="22.5" customHeight="1" thickBot="1">
      <c r="A112" s="442" t="s">
        <v>220</v>
      </c>
      <c r="B112" s="95" t="s">
        <v>219</v>
      </c>
      <c r="C112" s="369">
        <v>4</v>
      </c>
      <c r="D112" s="205">
        <f>TRUNC(E87*C112,-1)</f>
        <v>2640</v>
      </c>
      <c r="F112" s="76"/>
      <c r="I112" s="76"/>
      <c r="J112" s="76"/>
      <c r="L112" s="76"/>
      <c r="O112" s="526"/>
      <c r="P112" s="498">
        <f>IF(G87&gt;E87*C112,E87*C112,G87)</f>
        <v>2374.6188435189133</v>
      </c>
      <c r="Q112" s="500">
        <f>R112*P112*PI()/30000</f>
        <v>48.726102057177705</v>
      </c>
      <c r="R112" s="500">
        <f>R106*P106/P112</f>
        <v>195.94723644594632</v>
      </c>
      <c r="S112" s="498">
        <f>M87</f>
        <v>1550.6854574668712</v>
      </c>
      <c r="T112" s="500">
        <f>U112*S112*PI()/30000</f>
        <v>71.199041110662094</v>
      </c>
      <c r="U112" s="500">
        <f>U106*S106/S112</f>
        <v>438.45175492943059</v>
      </c>
      <c r="V112" s="498">
        <f t="shared" si="33"/>
        <v>1447.3102425327493</v>
      </c>
      <c r="W112" s="498">
        <f t="shared" si="27"/>
        <v>5.3108994587260439</v>
      </c>
      <c r="X112" s="500">
        <f t="shared" si="34"/>
        <v>35.041107688472472</v>
      </c>
      <c r="Y112" s="73"/>
      <c r="Z112" s="73">
        <v>4000</v>
      </c>
      <c r="AA112" s="526"/>
      <c r="AB112" s="73"/>
      <c r="AC112" s="73"/>
      <c r="AD112" s="73"/>
      <c r="AE112" s="73"/>
    </row>
    <row r="113" spans="1:31" ht="15" customHeight="1">
      <c r="A113" s="652" t="s">
        <v>106</v>
      </c>
      <c r="B113" s="653"/>
      <c r="C113" s="654"/>
      <c r="D113" s="76"/>
      <c r="F113" s="76"/>
      <c r="I113" s="76"/>
      <c r="J113" s="76"/>
      <c r="L113" s="76"/>
      <c r="O113" s="526"/>
      <c r="P113" s="498">
        <f>P112</f>
        <v>2374.6188435189133</v>
      </c>
      <c r="Q113" s="500">
        <f>R113*P113*PI()/30000</f>
        <v>48.726102057177705</v>
      </c>
      <c r="R113" s="500">
        <f>R112*(P112/P113)^2</f>
        <v>195.94723644594632</v>
      </c>
      <c r="S113" s="498">
        <f>S112</f>
        <v>1550.6854574668712</v>
      </c>
      <c r="T113" s="500">
        <f>U113*S113*PI()/30000</f>
        <v>71.199041110662094</v>
      </c>
      <c r="U113" s="500">
        <f>U112</f>
        <v>438.45175492943059</v>
      </c>
      <c r="V113" s="498">
        <f t="shared" si="33"/>
        <v>1592.0412667860244</v>
      </c>
      <c r="W113" s="498">
        <f t="shared" si="27"/>
        <v>4.8789749690382234</v>
      </c>
      <c r="X113" s="500">
        <f t="shared" si="34"/>
        <v>29.264806123210612</v>
      </c>
      <c r="Y113" s="73"/>
      <c r="Z113" s="73"/>
      <c r="AA113" s="526"/>
      <c r="AB113" s="73"/>
      <c r="AC113" s="73"/>
      <c r="AD113" s="73"/>
      <c r="AE113" s="73"/>
    </row>
    <row r="114" spans="1:31" ht="15" customHeight="1" thickBot="1">
      <c r="A114" s="652"/>
      <c r="B114" s="653"/>
      <c r="C114" s="654"/>
      <c r="D114" s="76"/>
      <c r="F114" s="76"/>
      <c r="I114" s="76"/>
      <c r="J114" s="76"/>
      <c r="L114" s="76"/>
      <c r="O114" s="526"/>
      <c r="P114" s="498">
        <f t="shared" ref="P114:P131" si="36">IF(P113*1.1&gt;MIN($L$13,$D$112),MIN($L$13,$D$112),P113*1.1)</f>
        <v>2612.0807278708048</v>
      </c>
      <c r="Q114" s="500">
        <f>R114*P114*PI()/30000</f>
        <v>44.763308762165586</v>
      </c>
      <c r="R114" s="500">
        <f t="shared" ref="R114:R130" si="37">R113*(P113/P114)^(1+$AD$87)</f>
        <v>163.6465929088186</v>
      </c>
      <c r="S114" s="498">
        <f t="shared" ref="S114:S131" si="38">IF(S113*1.1&gt;MIN($L$13,$D$112),MIN($L$13,$D$112),S113*1.1)</f>
        <v>1705.7540032135585</v>
      </c>
      <c r="T114" s="500">
        <f t="shared" ref="T114:T131" si="39">U114*S114*PI()/30000</f>
        <v>65.408570073320789</v>
      </c>
      <c r="U114" s="500">
        <f t="shared" ref="U114:U130" si="40">U113*(S113/S114)^(1+$AD$87)</f>
        <v>366.17579890638967</v>
      </c>
      <c r="V114" s="498">
        <f t="shared" si="33"/>
        <v>1751.2453934646269</v>
      </c>
      <c r="W114" s="498">
        <f t="shared" si="27"/>
        <v>4.4821780064749417</v>
      </c>
      <c r="X114" s="500">
        <f t="shared" si="34"/>
        <v>24.440690775047795</v>
      </c>
      <c r="Y114" s="73"/>
      <c r="Z114" s="73"/>
      <c r="AA114" s="526"/>
      <c r="AB114" s="73"/>
      <c r="AC114" s="73"/>
      <c r="AD114" s="73"/>
      <c r="AE114" s="73"/>
    </row>
    <row r="115" spans="1:31" ht="15" customHeight="1" thickBot="1">
      <c r="A115" s="370" t="s">
        <v>79</v>
      </c>
      <c r="B115" s="370" t="s">
        <v>116</v>
      </c>
      <c r="C115" s="370" t="s">
        <v>117</v>
      </c>
      <c r="D115" s="76"/>
      <c r="F115" s="76"/>
      <c r="I115" s="76"/>
      <c r="J115" s="76"/>
      <c r="L115" s="76"/>
      <c r="O115" s="526"/>
      <c r="P115" s="498">
        <f t="shared" si="36"/>
        <v>2640</v>
      </c>
      <c r="Q115" s="500">
        <f t="shared" ref="Q115:Q131" si="41">R115*P115*PI()/30000</f>
        <v>44.341742467792535</v>
      </c>
      <c r="R115" s="500">
        <f t="shared" si="37"/>
        <v>160.39107952402273</v>
      </c>
      <c r="S115" s="498">
        <f t="shared" si="38"/>
        <v>1876.3294035349145</v>
      </c>
      <c r="T115" s="500">
        <f t="shared" si="39"/>
        <v>60.089026092176411</v>
      </c>
      <c r="U115" s="500">
        <f t="shared" si="40"/>
        <v>305.81407007097926</v>
      </c>
      <c r="V115" s="498">
        <f t="shared" si="33"/>
        <v>1926.3699328110897</v>
      </c>
      <c r="W115" s="498">
        <f t="shared" si="27"/>
        <v>4.1176517217689144</v>
      </c>
      <c r="X115" s="500">
        <f t="shared" si="34"/>
        <v>20.411799861121786</v>
      </c>
      <c r="Y115" s="73"/>
      <c r="Z115" s="73"/>
      <c r="AA115" s="526"/>
      <c r="AB115" s="73"/>
      <c r="AC115" s="73"/>
      <c r="AD115" s="73"/>
      <c r="AE115" s="73"/>
    </row>
    <row r="116" spans="1:31" ht="15" customHeight="1">
      <c r="A116" s="371"/>
      <c r="B116" s="380"/>
      <c r="C116" s="381"/>
      <c r="D116" s="76"/>
      <c r="F116" s="76"/>
      <c r="I116" s="76"/>
      <c r="J116" s="76"/>
      <c r="L116" s="76"/>
      <c r="O116" s="526"/>
      <c r="P116" s="498">
        <f t="shared" si="36"/>
        <v>2640</v>
      </c>
      <c r="Q116" s="500">
        <f t="shared" si="41"/>
        <v>44.341742467792535</v>
      </c>
      <c r="R116" s="500">
        <f t="shared" si="37"/>
        <v>160.39107952402273</v>
      </c>
      <c r="S116" s="498">
        <f t="shared" si="38"/>
        <v>2063.9623438884059</v>
      </c>
      <c r="T116" s="500">
        <f t="shared" si="39"/>
        <v>55.202109641883247</v>
      </c>
      <c r="U116" s="500">
        <f t="shared" si="40"/>
        <v>255.40258458556991</v>
      </c>
      <c r="V116" s="498">
        <f t="shared" si="33"/>
        <v>2119.0069260921987</v>
      </c>
      <c r="W116" s="498">
        <f t="shared" si="27"/>
        <v>3.7827716073063757</v>
      </c>
      <c r="X116" s="500">
        <f t="shared" si="34"/>
        <v>17.04704574045234</v>
      </c>
      <c r="Y116" s="73"/>
      <c r="Z116" s="73"/>
      <c r="AA116" s="526"/>
      <c r="AB116" s="73"/>
      <c r="AC116" s="73"/>
      <c r="AD116" s="73"/>
      <c r="AE116" s="73"/>
    </row>
    <row r="117" spans="1:31" ht="15" customHeight="1">
      <c r="A117" s="374"/>
      <c r="B117" s="382"/>
      <c r="C117" s="383"/>
      <c r="D117" s="76"/>
      <c r="F117" s="76"/>
      <c r="I117" s="76"/>
      <c r="J117" s="76"/>
      <c r="L117" s="76"/>
      <c r="O117" s="526"/>
      <c r="P117" s="498">
        <f t="shared" si="36"/>
        <v>2640</v>
      </c>
      <c r="Q117" s="500">
        <f t="shared" si="41"/>
        <v>44.341742467792535</v>
      </c>
      <c r="R117" s="500">
        <f t="shared" si="37"/>
        <v>160.39107952402273</v>
      </c>
      <c r="S117" s="498">
        <f t="shared" si="38"/>
        <v>2270.3585782772466</v>
      </c>
      <c r="T117" s="500">
        <f t="shared" si="39"/>
        <v>50.712636018430224</v>
      </c>
      <c r="U117" s="500">
        <f t="shared" si="40"/>
        <v>213.3011087352823</v>
      </c>
      <c r="V117" s="498">
        <f t="shared" si="33"/>
        <v>2330.9076187014189</v>
      </c>
      <c r="W117" s="498">
        <f t="shared" si="27"/>
        <v>3.4751266012600168</v>
      </c>
      <c r="X117" s="500">
        <f t="shared" si="34"/>
        <v>14.236949727818047</v>
      </c>
      <c r="Y117" s="73"/>
      <c r="Z117" s="73"/>
      <c r="AA117" s="526"/>
      <c r="AB117" s="73"/>
      <c r="AC117" s="73"/>
      <c r="AD117" s="73"/>
      <c r="AE117" s="73"/>
    </row>
    <row r="118" spans="1:31" ht="15" customHeight="1">
      <c r="A118" s="374"/>
      <c r="B118" s="382"/>
      <c r="C118" s="383"/>
      <c r="D118" s="76"/>
      <c r="F118" s="76"/>
      <c r="I118" s="76"/>
      <c r="J118" s="76"/>
      <c r="L118" s="76"/>
      <c r="O118" s="526"/>
      <c r="P118" s="498">
        <f t="shared" si="36"/>
        <v>2640</v>
      </c>
      <c r="Q118" s="500">
        <f t="shared" si="41"/>
        <v>44.341742467792535</v>
      </c>
      <c r="R118" s="500">
        <f t="shared" si="37"/>
        <v>160.39107952402273</v>
      </c>
      <c r="S118" s="498">
        <f t="shared" si="38"/>
        <v>2497.3944361049716</v>
      </c>
      <c r="T118" s="500">
        <f t="shared" si="39"/>
        <v>46.588282017151727</v>
      </c>
      <c r="U118" s="500">
        <f t="shared" si="40"/>
        <v>178.13979079940484</v>
      </c>
      <c r="V118" s="498">
        <f t="shared" si="33"/>
        <v>2563.998380571561</v>
      </c>
      <c r="W118" s="498">
        <f t="shared" si="27"/>
        <v>3.1925017284837858</v>
      </c>
      <c r="X118" s="500">
        <f t="shared" si="34"/>
        <v>11.890079996174164</v>
      </c>
      <c r="Y118" s="73"/>
      <c r="Z118" s="73"/>
      <c r="AA118" s="526"/>
      <c r="AB118" s="73"/>
      <c r="AC118" s="73"/>
      <c r="AD118" s="73"/>
      <c r="AE118" s="73"/>
    </row>
    <row r="119" spans="1:31" ht="15" customHeight="1">
      <c r="A119" s="374"/>
      <c r="B119" s="382"/>
      <c r="C119" s="383"/>
      <c r="D119" s="76"/>
      <c r="F119" s="76"/>
      <c r="I119" s="76"/>
      <c r="J119" s="76"/>
      <c r="L119" s="76"/>
      <c r="O119" s="526"/>
      <c r="P119" s="498">
        <f t="shared" si="36"/>
        <v>2640</v>
      </c>
      <c r="Q119" s="500">
        <f t="shared" si="41"/>
        <v>44.341742467792535</v>
      </c>
      <c r="R119" s="500">
        <f t="shared" si="37"/>
        <v>160.39107952402273</v>
      </c>
      <c r="S119" s="498">
        <f t="shared" si="38"/>
        <v>2640</v>
      </c>
      <c r="T119" s="500">
        <f t="shared" si="39"/>
        <v>44.341742467792535</v>
      </c>
      <c r="U119" s="500">
        <f t="shared" si="40"/>
        <v>160.3910795240227</v>
      </c>
      <c r="V119" s="498">
        <f t="shared" si="33"/>
        <v>2640</v>
      </c>
      <c r="W119" s="498">
        <f t="shared" si="27"/>
        <v>3.1105733051977027</v>
      </c>
      <c r="X119" s="500">
        <f t="shared" si="34"/>
        <v>11.251434485725209</v>
      </c>
      <c r="Y119" s="73"/>
      <c r="Z119" s="73"/>
      <c r="AA119" s="526"/>
      <c r="AB119" s="73"/>
      <c r="AC119" s="73"/>
      <c r="AD119" s="73"/>
      <c r="AE119" s="73"/>
    </row>
    <row r="120" spans="1:31" ht="15" customHeight="1">
      <c r="A120" s="374"/>
      <c r="B120" s="382"/>
      <c r="C120" s="383"/>
      <c r="D120" s="76"/>
      <c r="F120" s="76"/>
      <c r="I120" s="76"/>
      <c r="J120" s="76"/>
      <c r="L120" s="76"/>
      <c r="O120" s="526"/>
      <c r="P120" s="498">
        <f t="shared" si="36"/>
        <v>2640</v>
      </c>
      <c r="Q120" s="500">
        <f t="shared" si="41"/>
        <v>44.341742467792535</v>
      </c>
      <c r="R120" s="500">
        <f t="shared" si="37"/>
        <v>160.39107952402273</v>
      </c>
      <c r="S120" s="498">
        <f t="shared" si="38"/>
        <v>2640</v>
      </c>
      <c r="T120" s="500">
        <f t="shared" si="39"/>
        <v>44.341742467792535</v>
      </c>
      <c r="U120" s="500">
        <f t="shared" si="40"/>
        <v>160.3910795240227</v>
      </c>
      <c r="V120" s="498">
        <f t="shared" si="33"/>
        <v>2640</v>
      </c>
      <c r="W120" s="498">
        <f t="shared" si="27"/>
        <v>3.1105733051977027</v>
      </c>
      <c r="X120" s="500">
        <f t="shared" si="34"/>
        <v>11.251434485725209</v>
      </c>
      <c r="Y120" s="73"/>
      <c r="Z120" s="73"/>
      <c r="AA120" s="526"/>
      <c r="AB120" s="73"/>
      <c r="AC120" s="73"/>
      <c r="AD120" s="73"/>
      <c r="AE120" s="73"/>
    </row>
    <row r="121" spans="1:31" ht="15" customHeight="1">
      <c r="A121" s="374"/>
      <c r="B121" s="382"/>
      <c r="C121" s="383"/>
      <c r="D121" s="76"/>
      <c r="F121" s="76"/>
      <c r="I121" s="76"/>
      <c r="J121" s="76"/>
      <c r="L121" s="76"/>
      <c r="O121" s="526"/>
      <c r="P121" s="498">
        <f t="shared" si="36"/>
        <v>2640</v>
      </c>
      <c r="Q121" s="500">
        <f t="shared" si="41"/>
        <v>44.341742467792535</v>
      </c>
      <c r="R121" s="500">
        <f t="shared" si="37"/>
        <v>160.39107952402273</v>
      </c>
      <c r="S121" s="498">
        <f t="shared" si="38"/>
        <v>2640</v>
      </c>
      <c r="T121" s="500">
        <f t="shared" si="39"/>
        <v>44.341742467792535</v>
      </c>
      <c r="U121" s="500">
        <f t="shared" si="40"/>
        <v>160.3910795240227</v>
      </c>
      <c r="V121" s="498">
        <f t="shared" si="33"/>
        <v>2640</v>
      </c>
      <c r="W121" s="498">
        <f t="shared" si="27"/>
        <v>3.1105733051977027</v>
      </c>
      <c r="X121" s="500">
        <f t="shared" si="34"/>
        <v>11.251434485725209</v>
      </c>
      <c r="Y121" s="73"/>
      <c r="Z121" s="73"/>
      <c r="AA121" s="526"/>
      <c r="AB121" s="73"/>
      <c r="AC121" s="73"/>
      <c r="AD121" s="73"/>
      <c r="AE121" s="73"/>
    </row>
    <row r="122" spans="1:31" ht="15" customHeight="1">
      <c r="A122" s="374"/>
      <c r="B122" s="382"/>
      <c r="C122" s="383"/>
      <c r="D122" s="76"/>
      <c r="F122" s="76"/>
      <c r="I122" s="76"/>
      <c r="J122" s="76"/>
      <c r="L122" s="76"/>
      <c r="O122" s="73"/>
      <c r="P122" s="498">
        <f t="shared" si="36"/>
        <v>2640</v>
      </c>
      <c r="Q122" s="500">
        <f t="shared" si="41"/>
        <v>44.341742467792535</v>
      </c>
      <c r="R122" s="500">
        <f t="shared" si="37"/>
        <v>160.39107952402273</v>
      </c>
      <c r="S122" s="498">
        <f t="shared" si="38"/>
        <v>2640</v>
      </c>
      <c r="T122" s="500">
        <f t="shared" si="39"/>
        <v>44.341742467792535</v>
      </c>
      <c r="U122" s="500">
        <f t="shared" si="40"/>
        <v>160.3910795240227</v>
      </c>
      <c r="V122" s="498">
        <f t="shared" si="33"/>
        <v>2640</v>
      </c>
      <c r="W122" s="498">
        <f t="shared" si="27"/>
        <v>3.1105733051977027</v>
      </c>
      <c r="X122" s="500">
        <f t="shared" si="34"/>
        <v>11.251434485725209</v>
      </c>
      <c r="Y122" s="73"/>
      <c r="Z122" s="73"/>
      <c r="AA122" s="526"/>
      <c r="AB122" s="73"/>
      <c r="AC122" s="73"/>
      <c r="AD122" s="73"/>
      <c r="AE122" s="73"/>
    </row>
    <row r="123" spans="1:31" ht="15" customHeight="1">
      <c r="A123" s="374"/>
      <c r="B123" s="382"/>
      <c r="C123" s="383"/>
      <c r="D123" s="76"/>
      <c r="F123" s="76"/>
      <c r="I123" s="76"/>
      <c r="J123" s="76"/>
      <c r="L123" s="76"/>
      <c r="O123" s="73"/>
      <c r="P123" s="498">
        <f t="shared" si="36"/>
        <v>2640</v>
      </c>
      <c r="Q123" s="500">
        <f t="shared" si="41"/>
        <v>44.341742467792535</v>
      </c>
      <c r="R123" s="500">
        <f t="shared" si="37"/>
        <v>160.39107952402273</v>
      </c>
      <c r="S123" s="498">
        <f t="shared" si="38"/>
        <v>2640</v>
      </c>
      <c r="T123" s="500">
        <f t="shared" si="39"/>
        <v>44.341742467792535</v>
      </c>
      <c r="U123" s="500">
        <f t="shared" si="40"/>
        <v>160.3910795240227</v>
      </c>
      <c r="V123" s="498">
        <f t="shared" si="33"/>
        <v>2640</v>
      </c>
      <c r="W123" s="498">
        <f t="shared" si="27"/>
        <v>3.1105733051977027</v>
      </c>
      <c r="X123" s="500">
        <f t="shared" si="34"/>
        <v>11.251434485725209</v>
      </c>
      <c r="Y123" s="73"/>
      <c r="Z123" s="73"/>
      <c r="AA123" s="526"/>
      <c r="AB123" s="73"/>
      <c r="AC123" s="73"/>
      <c r="AD123" s="73"/>
      <c r="AE123" s="73"/>
    </row>
    <row r="124" spans="1:31" ht="15" customHeight="1">
      <c r="A124" s="374"/>
      <c r="B124" s="382"/>
      <c r="C124" s="383"/>
      <c r="D124" s="76"/>
      <c r="F124" s="76"/>
      <c r="I124" s="76"/>
      <c r="J124" s="76"/>
      <c r="L124" s="76"/>
      <c r="O124" s="73"/>
      <c r="P124" s="498">
        <f t="shared" si="36"/>
        <v>2640</v>
      </c>
      <c r="Q124" s="500">
        <f t="shared" si="41"/>
        <v>44.341742467792535</v>
      </c>
      <c r="R124" s="500">
        <f t="shared" si="37"/>
        <v>160.39107952402273</v>
      </c>
      <c r="S124" s="498">
        <f t="shared" si="38"/>
        <v>2640</v>
      </c>
      <c r="T124" s="500">
        <f t="shared" si="39"/>
        <v>44.341742467792535</v>
      </c>
      <c r="U124" s="500">
        <f t="shared" si="40"/>
        <v>160.3910795240227</v>
      </c>
      <c r="V124" s="498">
        <f t="shared" si="33"/>
        <v>2640</v>
      </c>
      <c r="W124" s="498">
        <f t="shared" si="27"/>
        <v>3.1105733051977027</v>
      </c>
      <c r="X124" s="500">
        <f t="shared" si="34"/>
        <v>11.251434485725209</v>
      </c>
      <c r="Y124" s="73"/>
      <c r="Z124" s="73"/>
      <c r="AA124" s="526"/>
      <c r="AB124" s="73"/>
      <c r="AC124" s="73"/>
      <c r="AD124" s="73"/>
      <c r="AE124" s="73"/>
    </row>
    <row r="125" spans="1:31" ht="15" customHeight="1">
      <c r="A125" s="374"/>
      <c r="B125" s="382"/>
      <c r="C125" s="383"/>
      <c r="D125" s="76"/>
      <c r="F125" s="76"/>
      <c r="I125" s="76"/>
      <c r="J125" s="76"/>
      <c r="L125" s="76"/>
      <c r="O125" s="73"/>
      <c r="P125" s="498">
        <f t="shared" si="36"/>
        <v>2640</v>
      </c>
      <c r="Q125" s="500">
        <f t="shared" si="41"/>
        <v>44.341742467792535</v>
      </c>
      <c r="R125" s="500">
        <f t="shared" si="37"/>
        <v>160.39107952402273</v>
      </c>
      <c r="S125" s="498">
        <f t="shared" si="38"/>
        <v>2640</v>
      </c>
      <c r="T125" s="500">
        <f t="shared" si="39"/>
        <v>44.341742467792535</v>
      </c>
      <c r="U125" s="500">
        <f t="shared" si="40"/>
        <v>160.3910795240227</v>
      </c>
      <c r="V125" s="498">
        <f t="shared" si="33"/>
        <v>2640</v>
      </c>
      <c r="W125" s="498">
        <f t="shared" si="27"/>
        <v>3.1105733051977027</v>
      </c>
      <c r="X125" s="500">
        <f t="shared" si="34"/>
        <v>11.251434485725209</v>
      </c>
      <c r="Y125" s="73"/>
      <c r="Z125" s="73"/>
      <c r="AA125" s="526"/>
      <c r="AB125" s="73"/>
      <c r="AC125" s="73"/>
      <c r="AD125" s="73"/>
      <c r="AE125" s="73"/>
    </row>
    <row r="126" spans="1:31" ht="15" customHeight="1">
      <c r="A126" s="374"/>
      <c r="B126" s="382"/>
      <c r="C126" s="383"/>
      <c r="D126" s="76"/>
      <c r="F126" s="76"/>
      <c r="I126" s="76"/>
      <c r="J126" s="76"/>
      <c r="L126" s="76"/>
      <c r="O126" s="73"/>
      <c r="P126" s="498">
        <f t="shared" si="36"/>
        <v>2640</v>
      </c>
      <c r="Q126" s="500">
        <f t="shared" si="41"/>
        <v>44.341742467792535</v>
      </c>
      <c r="R126" s="500">
        <f t="shared" si="37"/>
        <v>160.39107952402273</v>
      </c>
      <c r="S126" s="498">
        <f t="shared" si="38"/>
        <v>2640</v>
      </c>
      <c r="T126" s="500">
        <f t="shared" si="39"/>
        <v>44.341742467792535</v>
      </c>
      <c r="U126" s="500">
        <f t="shared" si="40"/>
        <v>160.3910795240227</v>
      </c>
      <c r="V126" s="498">
        <f t="shared" si="33"/>
        <v>2640</v>
      </c>
      <c r="W126" s="498">
        <f t="shared" si="27"/>
        <v>3.1105733051977027</v>
      </c>
      <c r="X126" s="500">
        <f t="shared" si="34"/>
        <v>11.251434485725209</v>
      </c>
      <c r="Y126" s="73"/>
      <c r="Z126" s="73"/>
      <c r="AA126" s="526"/>
      <c r="AB126" s="73"/>
      <c r="AC126" s="73"/>
      <c r="AD126" s="73"/>
      <c r="AE126" s="73"/>
    </row>
    <row r="127" spans="1:31" ht="15" customHeight="1">
      <c r="A127" s="374"/>
      <c r="B127" s="382"/>
      <c r="C127" s="383"/>
      <c r="D127" s="76"/>
      <c r="F127" s="76"/>
      <c r="I127" s="76"/>
      <c r="J127" s="76"/>
      <c r="L127" s="76"/>
      <c r="O127" s="73"/>
      <c r="P127" s="498">
        <f t="shared" si="36"/>
        <v>2640</v>
      </c>
      <c r="Q127" s="500">
        <f t="shared" si="41"/>
        <v>44.341742467792535</v>
      </c>
      <c r="R127" s="500">
        <f t="shared" si="37"/>
        <v>160.39107952402273</v>
      </c>
      <c r="S127" s="498">
        <f t="shared" si="38"/>
        <v>2640</v>
      </c>
      <c r="T127" s="500">
        <f t="shared" si="39"/>
        <v>44.341742467792535</v>
      </c>
      <c r="U127" s="500">
        <f t="shared" si="40"/>
        <v>160.3910795240227</v>
      </c>
      <c r="V127" s="498">
        <f t="shared" si="33"/>
        <v>2640</v>
      </c>
      <c r="W127" s="498">
        <f t="shared" si="27"/>
        <v>3.1105733051977027</v>
      </c>
      <c r="X127" s="500">
        <f t="shared" si="34"/>
        <v>11.251434485725209</v>
      </c>
      <c r="Y127" s="73"/>
      <c r="Z127" s="73"/>
      <c r="AA127" s="526"/>
      <c r="AB127" s="73"/>
      <c r="AC127" s="73"/>
      <c r="AD127" s="73"/>
      <c r="AE127" s="73"/>
    </row>
    <row r="128" spans="1:31" ht="15" customHeight="1">
      <c r="A128" s="374"/>
      <c r="B128" s="382"/>
      <c r="C128" s="383"/>
      <c r="D128" s="76"/>
      <c r="F128" s="76"/>
      <c r="I128" s="76"/>
      <c r="J128" s="76"/>
      <c r="L128" s="76"/>
      <c r="O128" s="73"/>
      <c r="P128" s="498">
        <f t="shared" si="36"/>
        <v>2640</v>
      </c>
      <c r="Q128" s="500">
        <f t="shared" si="41"/>
        <v>44.341742467792535</v>
      </c>
      <c r="R128" s="500">
        <f t="shared" si="37"/>
        <v>160.39107952402273</v>
      </c>
      <c r="S128" s="498">
        <f t="shared" si="38"/>
        <v>2640</v>
      </c>
      <c r="T128" s="500">
        <f t="shared" si="39"/>
        <v>44.341742467792535</v>
      </c>
      <c r="U128" s="500">
        <f t="shared" si="40"/>
        <v>160.3910795240227</v>
      </c>
      <c r="V128" s="498">
        <f t="shared" si="33"/>
        <v>2640</v>
      </c>
      <c r="W128" s="498">
        <f t="shared" si="27"/>
        <v>3.1105733051977027</v>
      </c>
      <c r="X128" s="500">
        <f t="shared" si="34"/>
        <v>11.251434485725209</v>
      </c>
      <c r="Y128" s="73"/>
      <c r="Z128" s="73"/>
      <c r="AA128" s="526"/>
      <c r="AB128" s="73"/>
      <c r="AC128" s="73"/>
      <c r="AD128" s="73"/>
      <c r="AE128" s="73"/>
    </row>
    <row r="129" spans="1:57" ht="15" customHeight="1">
      <c r="A129" s="374"/>
      <c r="B129" s="382"/>
      <c r="C129" s="383"/>
      <c r="D129" s="76"/>
      <c r="F129" s="76"/>
      <c r="I129" s="76"/>
      <c r="J129" s="76"/>
      <c r="L129" s="76"/>
      <c r="O129" s="73"/>
      <c r="P129" s="498">
        <f t="shared" si="36"/>
        <v>2640</v>
      </c>
      <c r="Q129" s="500">
        <f t="shared" si="41"/>
        <v>44.341742467792535</v>
      </c>
      <c r="R129" s="500">
        <f t="shared" si="37"/>
        <v>160.39107952402273</v>
      </c>
      <c r="S129" s="498">
        <f t="shared" si="38"/>
        <v>2640</v>
      </c>
      <c r="T129" s="500">
        <f t="shared" si="39"/>
        <v>44.341742467792535</v>
      </c>
      <c r="U129" s="500">
        <f t="shared" si="40"/>
        <v>160.3910795240227</v>
      </c>
      <c r="V129" s="498">
        <f t="shared" si="33"/>
        <v>2640</v>
      </c>
      <c r="W129" s="498">
        <f t="shared" si="27"/>
        <v>3.1105733051977027</v>
      </c>
      <c r="X129" s="500">
        <f t="shared" si="34"/>
        <v>11.251434485725209</v>
      </c>
      <c r="Y129" s="73"/>
      <c r="Z129" s="73"/>
      <c r="AA129" s="526"/>
      <c r="AB129" s="73"/>
      <c r="AC129" s="73"/>
      <c r="AD129" s="73"/>
      <c r="AE129" s="73"/>
    </row>
    <row r="130" spans="1:57" ht="15" customHeight="1">
      <c r="A130" s="374"/>
      <c r="B130" s="382"/>
      <c r="C130" s="383"/>
      <c r="D130" s="76"/>
      <c r="F130" s="76"/>
      <c r="I130" s="76"/>
      <c r="J130" s="76"/>
      <c r="L130" s="76"/>
      <c r="O130" s="73"/>
      <c r="P130" s="498">
        <f t="shared" si="36"/>
        <v>2640</v>
      </c>
      <c r="Q130" s="500">
        <f t="shared" si="41"/>
        <v>44.341742467792535</v>
      </c>
      <c r="R130" s="500">
        <f t="shared" si="37"/>
        <v>160.39107952402273</v>
      </c>
      <c r="S130" s="498">
        <f t="shared" si="38"/>
        <v>2640</v>
      </c>
      <c r="T130" s="500">
        <f t="shared" si="39"/>
        <v>44.341742467792535</v>
      </c>
      <c r="U130" s="500">
        <f t="shared" si="40"/>
        <v>160.3910795240227</v>
      </c>
      <c r="V130" s="498">
        <f t="shared" si="33"/>
        <v>2640</v>
      </c>
      <c r="W130" s="498">
        <f t="shared" si="27"/>
        <v>3.1105733051977027</v>
      </c>
      <c r="X130" s="500">
        <f t="shared" si="34"/>
        <v>11.251434485725209</v>
      </c>
      <c r="Y130" s="73"/>
      <c r="Z130" s="73"/>
      <c r="AA130" s="526"/>
      <c r="AB130" s="73"/>
      <c r="AC130" s="73"/>
      <c r="AD130" s="73"/>
      <c r="AE130" s="73"/>
    </row>
    <row r="131" spans="1:57" ht="15" customHeight="1">
      <c r="A131" s="374"/>
      <c r="B131" s="382"/>
      <c r="C131" s="383"/>
      <c r="D131" s="76"/>
      <c r="F131" s="76"/>
      <c r="I131" s="76"/>
      <c r="J131" s="76"/>
      <c r="L131" s="76"/>
      <c r="O131" s="73"/>
      <c r="P131" s="498">
        <f t="shared" si="36"/>
        <v>2640</v>
      </c>
      <c r="Q131" s="500">
        <f t="shared" si="41"/>
        <v>44.341742467792535</v>
      </c>
      <c r="R131" s="500">
        <f>R130*(P130/P131)^(1+$AD$87)</f>
        <v>160.39107952402273</v>
      </c>
      <c r="S131" s="498">
        <f t="shared" si="38"/>
        <v>2640</v>
      </c>
      <c r="T131" s="500">
        <f t="shared" si="39"/>
        <v>44.341742467792535</v>
      </c>
      <c r="U131" s="500">
        <f>U130*(S130/S131)^(1+$AD$87)</f>
        <v>160.3910795240227</v>
      </c>
      <c r="V131" s="498">
        <f t="shared" si="33"/>
        <v>2640</v>
      </c>
      <c r="W131" s="498">
        <f t="shared" si="27"/>
        <v>3.1105733051977027</v>
      </c>
      <c r="X131" s="500">
        <f>X130*(V130/V131)^(1+$AD$87)</f>
        <v>11.251434485725209</v>
      </c>
      <c r="Y131" s="73"/>
      <c r="Z131" s="73"/>
      <c r="AA131" s="526"/>
      <c r="AB131" s="73"/>
      <c r="AC131" s="73"/>
      <c r="AD131" s="73"/>
      <c r="AE131" s="73"/>
    </row>
    <row r="132" spans="1:57" ht="15" customHeight="1">
      <c r="A132" s="374"/>
      <c r="B132" s="382"/>
      <c r="C132" s="383"/>
      <c r="D132" s="76"/>
      <c r="F132" s="76"/>
      <c r="I132" s="76"/>
      <c r="J132" s="76"/>
      <c r="L132" s="76"/>
      <c r="O132" s="73"/>
      <c r="P132" s="542"/>
      <c r="Q132" s="536"/>
      <c r="R132" s="536"/>
      <c r="S132" s="536"/>
      <c r="T132" s="536"/>
      <c r="U132" s="542"/>
      <c r="V132" s="542"/>
      <c r="W132" s="526"/>
      <c r="X132" s="526"/>
      <c r="Y132" s="526"/>
      <c r="Z132" s="526"/>
      <c r="AA132" s="526"/>
      <c r="AB132" s="73"/>
      <c r="AC132" s="73"/>
      <c r="AD132" s="73"/>
      <c r="AE132" s="73"/>
    </row>
    <row r="133" spans="1:57" ht="15" customHeight="1">
      <c r="A133" s="374"/>
      <c r="B133" s="382"/>
      <c r="C133" s="383"/>
      <c r="D133" s="76"/>
      <c r="F133" s="76"/>
      <c r="I133" s="76"/>
      <c r="J133" s="76"/>
      <c r="L133" s="76"/>
      <c r="O133" s="73"/>
      <c r="P133" s="542"/>
      <c r="Q133" s="536"/>
      <c r="R133" s="536"/>
      <c r="S133" s="536"/>
      <c r="T133" s="536"/>
      <c r="U133" s="542"/>
      <c r="V133" s="542"/>
      <c r="W133" s="526"/>
      <c r="X133" s="526"/>
      <c r="Y133" s="526"/>
      <c r="Z133" s="526"/>
      <c r="AA133" s="526"/>
      <c r="AB133" s="73"/>
      <c r="AC133" s="73"/>
      <c r="AD133" s="73"/>
      <c r="AE133" s="73"/>
    </row>
    <row r="134" spans="1:57" ht="15" customHeight="1">
      <c r="A134" s="374"/>
      <c r="B134" s="382"/>
      <c r="C134" s="383"/>
      <c r="D134" s="76"/>
      <c r="F134" s="76"/>
      <c r="I134" s="76"/>
      <c r="J134" s="76"/>
      <c r="L134" s="76"/>
      <c r="O134" s="73"/>
      <c r="P134" s="542"/>
      <c r="Q134" s="536"/>
      <c r="R134" s="536"/>
      <c r="S134" s="536"/>
      <c r="T134" s="536"/>
      <c r="U134" s="542"/>
      <c r="V134" s="542"/>
      <c r="W134" s="526"/>
      <c r="X134" s="526"/>
      <c r="Y134" s="526"/>
      <c r="Z134" s="526"/>
      <c r="AA134" s="526"/>
      <c r="AB134" s="73"/>
      <c r="AC134" s="73"/>
      <c r="AD134" s="73"/>
      <c r="AE134" s="73"/>
    </row>
    <row r="135" spans="1:57" ht="15" customHeight="1" thickBot="1">
      <c r="A135" s="377"/>
      <c r="B135" s="384"/>
      <c r="C135" s="385"/>
      <c r="D135" s="76"/>
      <c r="F135" s="76"/>
      <c r="I135" s="76"/>
      <c r="J135" s="76"/>
      <c r="L135" s="76"/>
      <c r="O135" s="73"/>
      <c r="P135" s="542"/>
      <c r="Q135" s="536"/>
      <c r="R135" s="536"/>
      <c r="S135" s="536"/>
      <c r="T135" s="536"/>
      <c r="U135" s="542"/>
      <c r="V135" s="542"/>
      <c r="W135" s="526"/>
      <c r="X135" s="526"/>
      <c r="Y135" s="526"/>
      <c r="Z135" s="526"/>
      <c r="AA135" s="526"/>
      <c r="AB135" s="73"/>
      <c r="AC135" s="73"/>
      <c r="AD135" s="73"/>
      <c r="AE135" s="73"/>
    </row>
    <row r="136" spans="1:57" ht="15" customHeight="1">
      <c r="A136" s="203">
        <f>MAX(A112,IF(A116="",0,MAX(A116:A135)))</f>
        <v>0</v>
      </c>
      <c r="B136" s="204"/>
      <c r="C136" s="204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</row>
    <row r="137" spans="1:57" ht="15" customHeight="1" thickBot="1"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</row>
    <row r="138" spans="1:57" ht="20.100000000000001" customHeight="1">
      <c r="A138" s="65"/>
      <c r="B138" s="66"/>
      <c r="C138" s="67"/>
      <c r="D138" s="183"/>
      <c r="E138" s="183"/>
      <c r="F138" s="183"/>
      <c r="G138" s="183"/>
      <c r="H138" s="183"/>
      <c r="I138" s="183"/>
      <c r="J138" s="184"/>
      <c r="K138" s="183"/>
      <c r="L138" s="185"/>
      <c r="M138" s="600"/>
      <c r="N138" s="601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</row>
    <row r="139" spans="1:57" ht="20.100000000000001" customHeight="1">
      <c r="A139" s="77"/>
      <c r="C139" s="78"/>
      <c r="D139" s="632" t="str">
        <f>D76</f>
        <v>MAC QE 200 P</v>
      </c>
      <c r="E139" s="633"/>
      <c r="F139" s="633"/>
      <c r="G139" s="633"/>
      <c r="H139" s="633"/>
      <c r="I139" s="633"/>
      <c r="J139" s="633"/>
      <c r="K139" s="634"/>
      <c r="L139" s="186"/>
      <c r="M139" s="545"/>
      <c r="N139" s="546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</row>
    <row r="140" spans="1:57" ht="20.100000000000001" customHeight="1">
      <c r="A140" s="77"/>
      <c r="C140" s="78"/>
      <c r="D140" s="607" t="s">
        <v>118</v>
      </c>
      <c r="E140" s="608"/>
      <c r="F140" s="608"/>
      <c r="G140" s="608"/>
      <c r="H140" s="608"/>
      <c r="I140" s="608"/>
      <c r="J140" s="608"/>
      <c r="K140" s="609"/>
      <c r="L140" s="186" t="s">
        <v>102</v>
      </c>
      <c r="M140" s="610" t="s">
        <v>119</v>
      </c>
      <c r="N140" s="546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</row>
    <row r="141" spans="1:57" ht="20.100000000000001" customHeight="1">
      <c r="A141" s="77"/>
      <c r="C141" s="78"/>
      <c r="D141" s="618" t="s">
        <v>120</v>
      </c>
      <c r="E141" s="619"/>
      <c r="F141" s="619"/>
      <c r="G141" s="619"/>
      <c r="H141" s="619"/>
      <c r="I141" s="619"/>
      <c r="J141" s="619"/>
      <c r="K141" s="620"/>
      <c r="L141" s="186" t="s">
        <v>13</v>
      </c>
      <c r="M141" s="611">
        <f>M78</f>
        <v>45244</v>
      </c>
      <c r="N141" s="621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</row>
    <row r="142" spans="1:57" ht="20.100000000000001" customHeight="1" thickBot="1">
      <c r="A142" s="81"/>
      <c r="B142" s="82"/>
      <c r="C142" s="83"/>
      <c r="D142" s="187"/>
      <c r="E142" s="187"/>
      <c r="F142" s="187"/>
      <c r="G142" s="187"/>
      <c r="H142" s="187"/>
      <c r="I142" s="187"/>
      <c r="J142" s="188"/>
      <c r="K142" s="187"/>
      <c r="L142" s="189"/>
      <c r="M142" s="612"/>
      <c r="N142" s="61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</row>
    <row r="143" spans="1:57" ht="54.75" customHeight="1">
      <c r="H143" s="206"/>
    </row>
    <row r="144" spans="1:57" ht="72" customHeight="1" thickBot="1">
      <c r="C144" s="207"/>
      <c r="D144" s="208"/>
      <c r="E144" s="208"/>
      <c r="F144" s="208"/>
      <c r="G144" s="208"/>
      <c r="H144" s="208"/>
      <c r="I144" s="208"/>
      <c r="J144" s="208"/>
      <c r="K144" s="208"/>
      <c r="L144" s="208"/>
      <c r="M144" s="208"/>
      <c r="BE144" s="75"/>
    </row>
    <row r="145" spans="1:57" ht="42.75" customHeight="1" thickTop="1" thickBot="1">
      <c r="C145" s="655" t="str">
        <f>D76</f>
        <v>MAC QE 200 P</v>
      </c>
      <c r="D145" s="656"/>
      <c r="E145" s="656"/>
      <c r="F145" s="656"/>
      <c r="G145" s="209" t="str">
        <f>A87</f>
        <v>B61</v>
      </c>
      <c r="H145" s="210"/>
      <c r="I145" s="211">
        <f>F9</f>
        <v>6</v>
      </c>
      <c r="J145" s="212" t="s">
        <v>121</v>
      </c>
      <c r="K145" s="657" t="s">
        <v>61</v>
      </c>
      <c r="L145" s="658"/>
      <c r="M145" s="659"/>
      <c r="BE145" s="75"/>
    </row>
    <row r="146" spans="1:57" ht="42.75" customHeight="1" thickTop="1" thickBot="1">
      <c r="C146" s="213" t="s">
        <v>122</v>
      </c>
      <c r="D146" s="660"/>
      <c r="E146" s="660"/>
      <c r="F146" s="661"/>
      <c r="G146" s="214" t="s">
        <v>123</v>
      </c>
      <c r="H146" s="662"/>
      <c r="I146" s="660"/>
      <c r="J146" s="661"/>
      <c r="K146" s="663" t="str">
        <f>J11</f>
        <v>IM B3</v>
      </c>
      <c r="L146" s="658"/>
      <c r="M146" s="659"/>
      <c r="BE146" s="75"/>
    </row>
    <row r="147" spans="1:57" s="201" customFormat="1" ht="42.75" customHeight="1" thickTop="1" thickBot="1">
      <c r="A147" s="76"/>
      <c r="C147" s="213" t="s">
        <v>124</v>
      </c>
      <c r="D147" s="671">
        <f>D87</f>
        <v>48.726102057177691</v>
      </c>
      <c r="E147" s="672"/>
      <c r="F147" s="215" t="s">
        <v>125</v>
      </c>
      <c r="G147" s="214" t="s">
        <v>126</v>
      </c>
      <c r="H147" s="673">
        <f>B87</f>
        <v>705</v>
      </c>
      <c r="I147" s="667"/>
      <c r="J147" s="212" t="s">
        <v>76</v>
      </c>
      <c r="K147" s="663" t="str">
        <f>G11</f>
        <v>IP 54</v>
      </c>
      <c r="L147" s="674"/>
      <c r="M147" s="675"/>
      <c r="N147" s="76"/>
      <c r="O147" s="404"/>
      <c r="P147" s="404"/>
      <c r="Q147" s="404"/>
      <c r="R147" s="404"/>
      <c r="S147" s="404"/>
      <c r="T147" s="404"/>
      <c r="U147" s="404"/>
      <c r="V147" s="404"/>
      <c r="W147" s="404"/>
      <c r="X147" s="404"/>
      <c r="Y147" s="404"/>
      <c r="Z147" s="404"/>
      <c r="AA147" s="404"/>
      <c r="AB147" s="404"/>
      <c r="AC147" s="404"/>
      <c r="AD147" s="404"/>
      <c r="AE147" s="404"/>
      <c r="AF147" s="404"/>
      <c r="AG147" s="404"/>
      <c r="AH147" s="423"/>
      <c r="AI147" s="423"/>
      <c r="AJ147" s="423"/>
      <c r="AK147" s="423"/>
      <c r="AL147" s="423"/>
      <c r="AM147" s="424"/>
      <c r="AN147" s="424"/>
      <c r="AO147" s="424"/>
      <c r="AP147" s="425"/>
      <c r="AQ147" s="424"/>
      <c r="AR147" s="423"/>
      <c r="AS147" s="423"/>
      <c r="AT147" s="423"/>
      <c r="AU147" s="423"/>
      <c r="AV147" s="423"/>
      <c r="AW147" s="423"/>
      <c r="AX147" s="423"/>
      <c r="AY147" s="423"/>
      <c r="AZ147" s="423"/>
      <c r="BA147" s="423"/>
      <c r="BB147" s="423"/>
      <c r="BC147" s="423"/>
      <c r="BD147" s="423"/>
      <c r="BE147" s="219"/>
    </row>
    <row r="148" spans="1:57" ht="42.75" customHeight="1" thickTop="1" thickBot="1">
      <c r="C148" s="213" t="s">
        <v>127</v>
      </c>
      <c r="D148" s="220" t="str">
        <f>IF(RIGHT(G145)="1","Y","D")</f>
        <v>Y</v>
      </c>
      <c r="E148" s="221">
        <f>F81</f>
        <v>400</v>
      </c>
      <c r="F148" s="215" t="s">
        <v>128</v>
      </c>
      <c r="G148" s="214" t="s">
        <v>129</v>
      </c>
      <c r="H148" s="676">
        <f>F87</f>
        <v>34</v>
      </c>
      <c r="I148" s="671"/>
      <c r="J148" s="212" t="s">
        <v>80</v>
      </c>
      <c r="K148" s="657" t="str">
        <f>C8</f>
        <v>IC 416</v>
      </c>
      <c r="L148" s="658"/>
      <c r="M148" s="659"/>
      <c r="BE148" s="75"/>
    </row>
    <row r="149" spans="1:57" ht="42.75" customHeight="1" thickTop="1" thickBot="1">
      <c r="C149" s="213" t="s">
        <v>130</v>
      </c>
      <c r="D149" s="671">
        <f>C87</f>
        <v>99.215176532137278</v>
      </c>
      <c r="E149" s="672"/>
      <c r="F149" s="215" t="s">
        <v>32</v>
      </c>
      <c r="G149" s="214" t="s">
        <v>131</v>
      </c>
      <c r="H149" s="222">
        <f>P87</f>
        <v>0.75320073041481272</v>
      </c>
      <c r="I149" s="213" t="s">
        <v>132</v>
      </c>
      <c r="J149" s="223">
        <f>O87</f>
        <v>0.94113561784735777</v>
      </c>
      <c r="K149" s="657" t="str">
        <f>I15</f>
        <v>Cl. F</v>
      </c>
      <c r="L149" s="658"/>
      <c r="M149" s="659"/>
      <c r="BE149" s="75"/>
    </row>
    <row r="150" spans="1:57" ht="42.75" customHeight="1" thickTop="1" thickBot="1">
      <c r="C150" s="213" t="s">
        <v>133</v>
      </c>
      <c r="D150" s="664">
        <f>E87</f>
        <v>660</v>
      </c>
      <c r="E150" s="665"/>
      <c r="F150" s="215" t="s">
        <v>79</v>
      </c>
      <c r="G150" s="214" t="s">
        <v>134</v>
      </c>
      <c r="H150" s="666">
        <f>L13</f>
        <v>4000</v>
      </c>
      <c r="I150" s="667"/>
      <c r="J150" s="224" t="s">
        <v>79</v>
      </c>
      <c r="K150" s="657" t="str">
        <f>F24</f>
        <v>S1</v>
      </c>
      <c r="L150" s="658"/>
      <c r="M150" s="659"/>
      <c r="BE150" s="75"/>
    </row>
    <row r="151" spans="1:57" ht="42.75" customHeight="1" thickTop="1" thickBot="1">
      <c r="C151" s="225" t="s">
        <v>135</v>
      </c>
      <c r="D151" s="677" t="str">
        <f>C10</f>
        <v>3 x 400 V</v>
      </c>
      <c r="E151" s="677"/>
      <c r="F151" s="678" t="str">
        <f>C12</f>
        <v>2,6 A</v>
      </c>
      <c r="G151" s="678"/>
      <c r="H151" s="457" t="str">
        <f>C11</f>
        <v>50 Hz</v>
      </c>
      <c r="I151" s="225" t="s">
        <v>136</v>
      </c>
      <c r="J151" s="227" t="s">
        <v>76</v>
      </c>
      <c r="K151" s="226" t="s">
        <v>76</v>
      </c>
      <c r="L151" s="228" t="s">
        <v>137</v>
      </c>
      <c r="M151" s="229" t="s">
        <v>137</v>
      </c>
      <c r="BE151" s="75"/>
    </row>
    <row r="152" spans="1:57" ht="42.75" customHeight="1" thickTop="1" thickBot="1">
      <c r="C152" s="668" t="s">
        <v>138</v>
      </c>
      <c r="D152" s="669"/>
      <c r="E152" s="669"/>
      <c r="F152" s="669"/>
      <c r="G152" s="669"/>
      <c r="H152" s="669"/>
      <c r="I152" s="669"/>
      <c r="J152" s="669"/>
      <c r="K152" s="669"/>
      <c r="L152" s="669"/>
      <c r="M152" s="670"/>
      <c r="BE152" s="75"/>
    </row>
    <row r="153" spans="1:57" ht="15" customHeight="1" thickTop="1">
      <c r="O153" s="416"/>
      <c r="P153" s="416"/>
      <c r="Q153" s="416"/>
      <c r="R153" s="416"/>
      <c r="S153" s="416"/>
      <c r="T153" s="416"/>
      <c r="U153" s="416"/>
    </row>
  </sheetData>
  <sheetProtection sheet="1" objects="1" scenarios="1"/>
  <mergeCells count="100">
    <mergeCell ref="D150:E150"/>
    <mergeCell ref="H150:I150"/>
    <mergeCell ref="K150:M150"/>
    <mergeCell ref="C152:M152"/>
    <mergeCell ref="D147:E147"/>
    <mergeCell ref="H147:I147"/>
    <mergeCell ref="K147:M147"/>
    <mergeCell ref="H148:I148"/>
    <mergeCell ref="K148:M148"/>
    <mergeCell ref="D149:E149"/>
    <mergeCell ref="K149:M149"/>
    <mergeCell ref="D151:E151"/>
    <mergeCell ref="F151:G151"/>
    <mergeCell ref="M142:N142"/>
    <mergeCell ref="C145:F145"/>
    <mergeCell ref="K145:M145"/>
    <mergeCell ref="D146:F146"/>
    <mergeCell ref="H146:J146"/>
    <mergeCell ref="K146:M146"/>
    <mergeCell ref="D141:K141"/>
    <mergeCell ref="M141:N141"/>
    <mergeCell ref="B84:E85"/>
    <mergeCell ref="F84:F85"/>
    <mergeCell ref="H84:K85"/>
    <mergeCell ref="L84:L85"/>
    <mergeCell ref="A89:C90"/>
    <mergeCell ref="A113:C114"/>
    <mergeCell ref="M138:N138"/>
    <mergeCell ref="D139:K139"/>
    <mergeCell ref="M139:N139"/>
    <mergeCell ref="D140:K140"/>
    <mergeCell ref="M140:N140"/>
    <mergeCell ref="W81:AB81"/>
    <mergeCell ref="A82:D82"/>
    <mergeCell ref="H82:K82"/>
    <mergeCell ref="Q82:T82"/>
    <mergeCell ref="W82:AB82"/>
    <mergeCell ref="M81:N82"/>
    <mergeCell ref="Q81:T81"/>
    <mergeCell ref="A81:D81"/>
    <mergeCell ref="E81:E82"/>
    <mergeCell ref="F81:G82"/>
    <mergeCell ref="H81:K81"/>
    <mergeCell ref="L81:L82"/>
    <mergeCell ref="M78:N78"/>
    <mergeCell ref="M79:N79"/>
    <mergeCell ref="B24:E25"/>
    <mergeCell ref="F24:F25"/>
    <mergeCell ref="H24:K25"/>
    <mergeCell ref="L24:L25"/>
    <mergeCell ref="M75:N75"/>
    <mergeCell ref="D76:K76"/>
    <mergeCell ref="D77:K77"/>
    <mergeCell ref="M77:N77"/>
    <mergeCell ref="D78:K78"/>
    <mergeCell ref="G11:G12"/>
    <mergeCell ref="N11:N12"/>
    <mergeCell ref="G13:H14"/>
    <mergeCell ref="L13:N14"/>
    <mergeCell ref="M1:N1"/>
    <mergeCell ref="D2:K2"/>
    <mergeCell ref="M2:N2"/>
    <mergeCell ref="D3:K3"/>
    <mergeCell ref="M3:N3"/>
    <mergeCell ref="M4:N4"/>
    <mergeCell ref="M5:N5"/>
    <mergeCell ref="H7:I8"/>
    <mergeCell ref="J7:L7"/>
    <mergeCell ref="M7:N8"/>
    <mergeCell ref="D4:K4"/>
    <mergeCell ref="C8:D9"/>
    <mergeCell ref="F15:F16"/>
    <mergeCell ref="I15:I16"/>
    <mergeCell ref="K15:K16"/>
    <mergeCell ref="N15:N16"/>
    <mergeCell ref="A16:D18"/>
    <mergeCell ref="F17:H18"/>
    <mergeCell ref="K17:N18"/>
    <mergeCell ref="J8:L8"/>
    <mergeCell ref="F9:F10"/>
    <mergeCell ref="I9:J10"/>
    <mergeCell ref="M9:N10"/>
    <mergeCell ref="G10:H10"/>
    <mergeCell ref="G9:H9"/>
    <mergeCell ref="L19:L20"/>
    <mergeCell ref="M76:N76"/>
    <mergeCell ref="M19:N20"/>
    <mergeCell ref="A21:D21"/>
    <mergeCell ref="E21:E22"/>
    <mergeCell ref="C19:D20"/>
    <mergeCell ref="H19:H20"/>
    <mergeCell ref="I19:I20"/>
    <mergeCell ref="J19:J20"/>
    <mergeCell ref="K19:K20"/>
    <mergeCell ref="F21:G22"/>
    <mergeCell ref="H21:K21"/>
    <mergeCell ref="L21:L22"/>
    <mergeCell ref="M21:N22"/>
    <mergeCell ref="A22:D22"/>
    <mergeCell ref="H22:K22"/>
  </mergeCells>
  <dataValidations disablePrompts="1" count="1">
    <dataValidation type="list" allowBlank="1" showInputMessage="1" showErrorMessage="1" sqref="K146:M146" xr:uid="{00000000-0002-0000-0100-000000000000}">
      <formula1>$S$9:$S$10</formula1>
    </dataValidation>
  </dataValidations>
  <pageMargins left="0.78740157480314965" right="0.39370078740157483" top="0.19685039370078741" bottom="0.19685039370078741" header="0.39370078740157483" footer="0.39370078740157483"/>
  <pageSetup paperSize="9" scale="59" fitToHeight="2" orientation="portrait" horizontalDpi="180" verticalDpi="180" r:id="rId1"/>
  <headerFooter alignWithMargins="0"/>
  <rowBreaks count="2" manualBreakCount="2">
    <brk id="74" max="13" man="1"/>
    <brk id="137" max="1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>
              <from>
                <xdr:col>0</xdr:col>
                <xdr:colOff>76200</xdr:colOff>
                <xdr:row>1</xdr:row>
                <xdr:rowOff>123825</xdr:rowOff>
              </from>
              <to>
                <xdr:col>2</xdr:col>
                <xdr:colOff>190500</xdr:colOff>
                <xdr:row>3</xdr:row>
                <xdr:rowOff>161925</xdr:rowOff>
              </to>
            </anchor>
          </objectPr>
        </oleObject>
      </mc:Choice>
      <mc:Fallback>
        <oleObject progId="Word.Picture.8" shapeId="2049" r:id="rId4"/>
      </mc:Fallback>
    </mc:AlternateContent>
    <mc:AlternateContent xmlns:mc="http://schemas.openxmlformats.org/markup-compatibility/2006">
      <mc:Choice Requires="x14">
        <oleObject progId="Word.Picture.8" shapeId="2050" r:id="rId6">
          <objectPr defaultSize="0" autoPict="0" r:id="rId5">
            <anchor moveWithCells="1">
              <from>
                <xdr:col>0</xdr:col>
                <xdr:colOff>19050</xdr:colOff>
                <xdr:row>75</xdr:row>
                <xdr:rowOff>133350</xdr:rowOff>
              </from>
              <to>
                <xdr:col>1</xdr:col>
                <xdr:colOff>581025</xdr:colOff>
                <xdr:row>77</xdr:row>
                <xdr:rowOff>85725</xdr:rowOff>
              </to>
            </anchor>
          </objectPr>
        </oleObject>
      </mc:Choice>
      <mc:Fallback>
        <oleObject progId="Word.Picture.8" shapeId="2050" r:id="rId6"/>
      </mc:Fallback>
    </mc:AlternateContent>
    <mc:AlternateContent xmlns:mc="http://schemas.openxmlformats.org/markup-compatibility/2006">
      <mc:Choice Requires="x14">
        <oleObject progId="Word.Picture.8" shapeId="2051" r:id="rId7">
          <objectPr defaultSize="0" autoPict="0" r:id="rId5">
            <anchor moveWithCells="1">
              <from>
                <xdr:col>0</xdr:col>
                <xdr:colOff>66675</xdr:colOff>
                <xdr:row>75</xdr:row>
                <xdr:rowOff>38100</xdr:rowOff>
              </from>
              <to>
                <xdr:col>2</xdr:col>
                <xdr:colOff>180975</xdr:colOff>
                <xdr:row>77</xdr:row>
                <xdr:rowOff>85725</xdr:rowOff>
              </to>
            </anchor>
          </objectPr>
        </oleObject>
      </mc:Choice>
      <mc:Fallback>
        <oleObject progId="Word.Picture.8" shapeId="2051" r:id="rId7"/>
      </mc:Fallback>
    </mc:AlternateContent>
    <mc:AlternateContent xmlns:mc="http://schemas.openxmlformats.org/markup-compatibility/2006">
      <mc:Choice Requires="x14">
        <oleObject progId="Word.Picture.8" shapeId="2053" r:id="rId8">
          <objectPr defaultSize="0" autoPict="0" r:id="rId5">
            <anchor moveWithCells="1">
              <from>
                <xdr:col>0</xdr:col>
                <xdr:colOff>247650</xdr:colOff>
                <xdr:row>138</xdr:row>
                <xdr:rowOff>76200</xdr:rowOff>
              </from>
              <to>
                <xdr:col>2</xdr:col>
                <xdr:colOff>314325</xdr:colOff>
                <xdr:row>140</xdr:row>
                <xdr:rowOff>123825</xdr:rowOff>
              </to>
            </anchor>
          </objectPr>
        </oleObject>
      </mc:Choice>
      <mc:Fallback>
        <oleObject progId="Word.Picture.8" shapeId="2053" r:id="rId8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22"/>
  <sheetViews>
    <sheetView showZeros="0" zoomScaleNormal="100" zoomScaleSheetLayoutView="72" workbookViewId="0">
      <selection activeCell="D19" sqref="D19"/>
    </sheetView>
  </sheetViews>
  <sheetFormatPr defaultColWidth="16" defaultRowHeight="15" customHeight="1"/>
  <cols>
    <col min="1" max="1" width="16" style="235" customWidth="1"/>
    <col min="2" max="8" width="16" style="286" customWidth="1"/>
    <col min="9" max="9" width="16" style="287" customWidth="1"/>
    <col min="10" max="16384" width="16" style="235"/>
  </cols>
  <sheetData>
    <row r="1" spans="1:29" ht="16.5" customHeight="1">
      <c r="A1" s="230"/>
      <c r="B1" s="231"/>
      <c r="C1" s="232"/>
      <c r="D1" s="231"/>
      <c r="E1" s="231"/>
      <c r="F1" s="231"/>
      <c r="G1" s="231"/>
      <c r="H1" s="231"/>
      <c r="I1" s="231"/>
      <c r="J1" s="233"/>
      <c r="K1" s="233"/>
      <c r="L1" s="231"/>
      <c r="M1" s="234"/>
      <c r="N1" s="231"/>
      <c r="O1" s="234"/>
    </row>
    <row r="2" spans="1:29" ht="16.5" customHeight="1">
      <c r="A2" s="236"/>
      <c r="B2" s="237"/>
      <c r="C2" s="238"/>
      <c r="D2" s="237"/>
      <c r="E2" s="239"/>
      <c r="F2" s="239"/>
      <c r="G2" s="237"/>
      <c r="H2" s="237" t="str">
        <f>RESUM!H2</f>
        <v>MAC QE 200 P</v>
      </c>
      <c r="I2" s="239"/>
      <c r="L2" s="240"/>
      <c r="M2" s="241"/>
      <c r="N2" s="240"/>
      <c r="O2" s="241"/>
    </row>
    <row r="3" spans="1:29" ht="16.5" customHeight="1">
      <c r="A3" s="236"/>
      <c r="B3" s="239"/>
      <c r="C3" s="242"/>
      <c r="D3" s="239"/>
      <c r="E3" s="239"/>
      <c r="F3" s="239"/>
      <c r="G3" s="239"/>
      <c r="H3" s="239"/>
      <c r="I3" s="239"/>
      <c r="L3" s="240"/>
      <c r="M3" s="80"/>
      <c r="N3" s="240"/>
      <c r="O3" s="80"/>
    </row>
    <row r="4" spans="1:29" ht="16.5" customHeight="1">
      <c r="A4" s="236"/>
      <c r="B4" s="243"/>
      <c r="C4" s="244"/>
      <c r="D4" s="243"/>
      <c r="E4" s="239"/>
      <c r="F4" s="239"/>
      <c r="G4" s="243"/>
      <c r="H4" s="243" t="s">
        <v>260</v>
      </c>
      <c r="I4" s="239"/>
      <c r="L4" s="240"/>
      <c r="M4" s="241"/>
      <c r="N4" s="240"/>
      <c r="O4" s="241"/>
    </row>
    <row r="5" spans="1:29" ht="16.5" customHeight="1">
      <c r="A5" s="236"/>
      <c r="B5" s="239"/>
      <c r="C5" s="242"/>
      <c r="D5" s="239"/>
      <c r="E5" s="239"/>
      <c r="F5" s="239"/>
      <c r="G5" s="239"/>
      <c r="H5" s="239"/>
      <c r="I5" s="239"/>
      <c r="L5" s="240"/>
      <c r="M5" s="245"/>
      <c r="N5" s="240" t="s">
        <v>139</v>
      </c>
      <c r="O5" s="245">
        <f>RESUM!O5</f>
        <v>45244</v>
      </c>
    </row>
    <row r="6" spans="1:29" ht="16.5" customHeight="1" thickBot="1">
      <c r="A6" s="246"/>
      <c r="B6" s="247"/>
      <c r="C6" s="248"/>
      <c r="D6" s="247"/>
      <c r="E6" s="247"/>
      <c r="F6" s="247"/>
      <c r="G6" s="247"/>
      <c r="H6" s="247"/>
      <c r="I6" s="247"/>
      <c r="J6" s="249"/>
      <c r="K6" s="249"/>
      <c r="L6" s="247"/>
      <c r="M6" s="250"/>
      <c r="N6" s="247"/>
      <c r="O6" s="250"/>
    </row>
    <row r="7" spans="1:29" s="255" customFormat="1" ht="16.5" customHeight="1">
      <c r="A7" s="251"/>
      <c r="B7" s="252"/>
      <c r="C7" s="252"/>
      <c r="D7" s="252"/>
      <c r="E7" s="252"/>
      <c r="F7" s="252"/>
      <c r="G7" s="252"/>
      <c r="H7" s="252"/>
      <c r="I7" s="253"/>
      <c r="J7" s="252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</row>
    <row r="8" spans="1:29" ht="16.5" customHeight="1">
      <c r="A8" s="518"/>
      <c r="B8" s="257" t="str">
        <f>RESUM!B8</f>
        <v>MAC QE 200 P</v>
      </c>
      <c r="C8" s="257" t="str">
        <f>RESUM!C8</f>
        <v>MAC QE 200 P</v>
      </c>
      <c r="D8" s="257" t="str">
        <f>RESUM!D8</f>
        <v>MAC QE 200 P</v>
      </c>
      <c r="E8" s="257" t="str">
        <f>RESUM!E8</f>
        <v>MAC QE 200 P</v>
      </c>
      <c r="F8" s="257" t="str">
        <f>RESUM!F8</f>
        <v>MAC QE 200 P</v>
      </c>
      <c r="G8" s="257" t="str">
        <f>RESUM!G8</f>
        <v>MAC QE 200 P</v>
      </c>
      <c r="H8" s="257" t="str">
        <f>RESUM!H8</f>
        <v>MAC QE 200 P</v>
      </c>
      <c r="I8" s="513" t="str">
        <f>RESUM!I8</f>
        <v>MAC QE 200 P</v>
      </c>
      <c r="J8" s="513" t="str">
        <f>RESUM!J8</f>
        <v>MAC QE 200 P</v>
      </c>
      <c r="K8" s="513" t="str">
        <f>RESUM!K8</f>
        <v>MAC QE 200 P</v>
      </c>
      <c r="L8" s="513">
        <f>RESUM!L8</f>
        <v>0</v>
      </c>
      <c r="M8" s="513">
        <f>RESUM!M8</f>
        <v>0</v>
      </c>
      <c r="N8" s="513">
        <f>RESUM!N8</f>
        <v>0</v>
      </c>
      <c r="O8" s="513">
        <f>RESUM!O8</f>
        <v>0</v>
      </c>
    </row>
    <row r="9" spans="1:29" s="259" customFormat="1" ht="16.5" customHeight="1">
      <c r="A9" s="519"/>
      <c r="B9" s="386" t="str">
        <f>RESUM!B9</f>
        <v>A61</v>
      </c>
      <c r="C9" s="386" t="str">
        <f>RESUM!C9</f>
        <v>B61</v>
      </c>
      <c r="D9" s="386" t="str">
        <f>RESUM!D9</f>
        <v>C61</v>
      </c>
      <c r="E9" s="386" t="str">
        <f>RESUM!E9</f>
        <v>D61</v>
      </c>
      <c r="F9" s="386" t="str">
        <f>RESUM!F9</f>
        <v>E61</v>
      </c>
      <c r="G9" s="386" t="str">
        <f>RESUM!G9</f>
        <v>F61</v>
      </c>
      <c r="H9" s="386" t="str">
        <f>RESUM!H9</f>
        <v>G61</v>
      </c>
      <c r="I9" s="503" t="str">
        <f>RESUM!I9</f>
        <v>H61</v>
      </c>
      <c r="J9" s="503" t="str">
        <f>RESUM!J9</f>
        <v>E62</v>
      </c>
      <c r="K9" s="503" t="str">
        <f>RESUM!K9</f>
        <v>F62</v>
      </c>
      <c r="L9" s="503">
        <f>RESUM!L9</f>
        <v>0</v>
      </c>
      <c r="M9" s="503">
        <f>RESUM!M9</f>
        <v>0</v>
      </c>
      <c r="N9" s="503">
        <f>RESUM!N9</f>
        <v>0</v>
      </c>
      <c r="O9" s="503">
        <f>RESUM!O9</f>
        <v>0</v>
      </c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</row>
    <row r="10" spans="1:29" ht="16.5" customHeight="1">
      <c r="A10" s="236" t="s">
        <v>140</v>
      </c>
      <c r="B10" s="260">
        <f>RESUM!B10</f>
        <v>6</v>
      </c>
      <c r="C10" s="260">
        <f>RESUM!C10</f>
        <v>6</v>
      </c>
      <c r="D10" s="260">
        <f>RESUM!D10</f>
        <v>6</v>
      </c>
      <c r="E10" s="387">
        <f>RESUM!E10</f>
        <v>6</v>
      </c>
      <c r="F10" s="260">
        <f>RESUM!F10</f>
        <v>6</v>
      </c>
      <c r="G10" s="260">
        <f>RESUM!G10</f>
        <v>6</v>
      </c>
      <c r="H10" s="260">
        <f>RESUM!H10</f>
        <v>6</v>
      </c>
      <c r="I10" s="504">
        <f>RESUM!I10</f>
        <v>6</v>
      </c>
      <c r="J10" s="504">
        <f>RESUM!J10</f>
        <v>6</v>
      </c>
      <c r="K10" s="504">
        <f>RESUM!K10</f>
        <v>6</v>
      </c>
      <c r="L10" s="504">
        <f>RESUM!L10</f>
        <v>6</v>
      </c>
      <c r="M10" s="504">
        <f>RESUM!M10</f>
        <v>6</v>
      </c>
      <c r="N10" s="504">
        <f>RESUM!N10</f>
        <v>6</v>
      </c>
      <c r="O10" s="504">
        <f>RESUM!O10</f>
        <v>6</v>
      </c>
    </row>
    <row r="11" spans="1:29" s="263" customFormat="1" ht="16.5" customHeight="1">
      <c r="A11" s="392" t="s">
        <v>76</v>
      </c>
      <c r="B11" s="262">
        <f>RESUM!B11</f>
        <v>705</v>
      </c>
      <c r="C11" s="262">
        <f>RESUM!C11</f>
        <v>705</v>
      </c>
      <c r="D11" s="262">
        <f>RESUM!D11</f>
        <v>705</v>
      </c>
      <c r="E11" s="388">
        <f>RESUM!E11</f>
        <v>705</v>
      </c>
      <c r="F11" s="262">
        <f>RESUM!F11</f>
        <v>705</v>
      </c>
      <c r="G11" s="262">
        <f>RESUM!G11</f>
        <v>705</v>
      </c>
      <c r="H11" s="262">
        <f>RESUM!H11</f>
        <v>705</v>
      </c>
      <c r="I11" s="505">
        <f>RESUM!I11</f>
        <v>705</v>
      </c>
      <c r="J11" s="505">
        <f>RESUM!J11</f>
        <v>650</v>
      </c>
      <c r="K11" s="505">
        <f>RESUM!K11</f>
        <v>600</v>
      </c>
      <c r="L11" s="505">
        <f>RESUM!L11</f>
        <v>0</v>
      </c>
      <c r="M11" s="505">
        <f>RESUM!M11</f>
        <v>0</v>
      </c>
      <c r="N11" s="505">
        <f>RESUM!N11</f>
        <v>0</v>
      </c>
      <c r="O11" s="505">
        <f>RESUM!O11</f>
        <v>0</v>
      </c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</row>
    <row r="12" spans="1:29" ht="16.5" customHeight="1">
      <c r="A12" s="236" t="s">
        <v>79</v>
      </c>
      <c r="B12" s="264">
        <f>'driving mode datasheet'!E27</f>
        <v>540</v>
      </c>
      <c r="C12" s="264">
        <f>'driving mode datasheet'!E28</f>
        <v>660</v>
      </c>
      <c r="D12" s="264">
        <f>'driving mode datasheet'!E29</f>
        <v>780</v>
      </c>
      <c r="E12" s="389">
        <f>'driving mode datasheet'!E30</f>
        <v>920</v>
      </c>
      <c r="F12" s="264">
        <f>'driving mode datasheet'!E31</f>
        <v>1140</v>
      </c>
      <c r="G12" s="264">
        <f>'driving mode datasheet'!E32</f>
        <v>1280</v>
      </c>
      <c r="H12" s="264">
        <f>'driving mode datasheet'!E33</f>
        <v>1460</v>
      </c>
      <c r="I12" s="506">
        <f>'driving mode datasheet'!E34</f>
        <v>1700</v>
      </c>
      <c r="J12" s="506">
        <f>'driving mode datasheet'!E35</f>
        <v>2026.5360000000001</v>
      </c>
      <c r="K12" s="506">
        <f>'driving mode datasheet'!E36</f>
        <v>2287.5800000000004</v>
      </c>
      <c r="L12" s="506">
        <f>'driving mode datasheet'!E37</f>
        <v>0</v>
      </c>
      <c r="M12" s="506">
        <f>'driving mode datasheet'!E38</f>
        <v>0</v>
      </c>
      <c r="N12" s="506">
        <f>'driving mode datasheet'!E39</f>
        <v>0</v>
      </c>
      <c r="O12" s="506">
        <f>'driving mode datasheet'!E40</f>
        <v>0</v>
      </c>
      <c r="U12" s="260">
        <f>RESUM!C10</f>
        <v>6</v>
      </c>
      <c r="V12" s="260">
        <f>RESUM!D10</f>
        <v>6</v>
      </c>
    </row>
    <row r="13" spans="1:29" s="268" customFormat="1" ht="16.5" customHeight="1">
      <c r="A13" s="393" t="s">
        <v>78</v>
      </c>
      <c r="B13" s="266">
        <f>B11*B12*PI()/30000</f>
        <v>39.866810774054471</v>
      </c>
      <c r="C13" s="266">
        <f t="shared" ref="C13:K13" si="0">C11*C12*PI()/30000</f>
        <v>48.726102057177691</v>
      </c>
      <c r="D13" s="266">
        <f t="shared" si="0"/>
        <v>57.585393340300911</v>
      </c>
      <c r="E13" s="390">
        <f t="shared" si="0"/>
        <v>67.92123317061133</v>
      </c>
      <c r="F13" s="266">
        <f t="shared" si="0"/>
        <v>84.163267189670549</v>
      </c>
      <c r="G13" s="266">
        <f t="shared" si="0"/>
        <v>94.499107019980983</v>
      </c>
      <c r="H13" s="266">
        <f t="shared" si="0"/>
        <v>107.7880439446658</v>
      </c>
      <c r="I13" s="507">
        <f t="shared" si="0"/>
        <v>125.50662651091224</v>
      </c>
      <c r="J13" s="507">
        <f t="shared" si="0"/>
        <v>137.94192987976365</v>
      </c>
      <c r="K13" s="507">
        <f t="shared" si="0"/>
        <v>143.73289044997881</v>
      </c>
      <c r="L13" s="507">
        <f>L11*L12*PI()/30000</f>
        <v>0</v>
      </c>
      <c r="M13" s="507">
        <f>M11*M12*PI()/30000</f>
        <v>0</v>
      </c>
      <c r="N13" s="507">
        <f>N11*N12*PI()/30000</f>
        <v>0</v>
      </c>
      <c r="O13" s="507">
        <f>O11*O12*PI()/30000</f>
        <v>0</v>
      </c>
      <c r="P13" s="267"/>
      <c r="Q13" s="267"/>
      <c r="R13" s="267"/>
      <c r="S13" s="267"/>
      <c r="T13" s="267"/>
      <c r="U13" s="267"/>
      <c r="V13" s="267"/>
      <c r="W13" s="267"/>
      <c r="X13" s="267"/>
      <c r="Y13" s="267"/>
      <c r="Z13" s="267"/>
      <c r="AA13" s="267"/>
      <c r="AB13" s="267"/>
      <c r="AC13" s="267"/>
    </row>
    <row r="14" spans="1:29" s="263" customFormat="1" ht="16.5" customHeight="1">
      <c r="A14" s="392" t="s">
        <v>128</v>
      </c>
      <c r="B14" s="262">
        <f>'driving mode datasheet'!F21</f>
        <v>400</v>
      </c>
      <c r="C14" s="262">
        <f>B14</f>
        <v>400</v>
      </c>
      <c r="D14" s="262">
        <f t="shared" ref="D14:O14" si="1">C14</f>
        <v>400</v>
      </c>
      <c r="E14" s="388">
        <f t="shared" si="1"/>
        <v>400</v>
      </c>
      <c r="F14" s="262">
        <f t="shared" si="1"/>
        <v>400</v>
      </c>
      <c r="G14" s="262">
        <f t="shared" si="1"/>
        <v>400</v>
      </c>
      <c r="H14" s="262">
        <f t="shared" si="1"/>
        <v>400</v>
      </c>
      <c r="I14" s="505">
        <f t="shared" si="1"/>
        <v>400</v>
      </c>
      <c r="J14" s="505">
        <f t="shared" si="1"/>
        <v>400</v>
      </c>
      <c r="K14" s="505">
        <f t="shared" si="1"/>
        <v>400</v>
      </c>
      <c r="L14" s="505">
        <f t="shared" si="1"/>
        <v>400</v>
      </c>
      <c r="M14" s="505">
        <f t="shared" si="1"/>
        <v>400</v>
      </c>
      <c r="N14" s="505">
        <f t="shared" si="1"/>
        <v>400</v>
      </c>
      <c r="O14" s="505">
        <f t="shared" si="1"/>
        <v>400</v>
      </c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/>
      <c r="AA14" s="235"/>
      <c r="AB14" s="235"/>
      <c r="AC14" s="235"/>
    </row>
    <row r="15" spans="1:29" s="267" customFormat="1" ht="16.5" customHeight="1">
      <c r="A15" s="394" t="s">
        <v>32</v>
      </c>
      <c r="B15" s="270">
        <f>RESUM!B15</f>
        <v>82.933161945902029</v>
      </c>
      <c r="C15" s="270">
        <f>RESUM!C15</f>
        <v>99.215176532137278</v>
      </c>
      <c r="D15" s="270">
        <f>RESUM!D15</f>
        <v>114.22319796676634</v>
      </c>
      <c r="E15" s="391">
        <f>RESUM!E15</f>
        <v>134.94616792452854</v>
      </c>
      <c r="F15" s="270">
        <f>RESUM!F15</f>
        <v>164.80704828666907</v>
      </c>
      <c r="G15" s="270">
        <f>RESUM!G15</f>
        <v>185.40753107296055</v>
      </c>
      <c r="H15" s="270">
        <f>RESUM!H15</f>
        <v>211.95146878333776</v>
      </c>
      <c r="I15" s="508">
        <f>RESUM!I15</f>
        <v>247.42495234684944</v>
      </c>
      <c r="J15" s="508">
        <f>RESUM!J15</f>
        <v>270.17449759708887</v>
      </c>
      <c r="K15" s="508">
        <f>RESUM!K15</f>
        <v>288.62162127015864</v>
      </c>
      <c r="L15" s="508">
        <f>RESUM!L15</f>
        <v>0</v>
      </c>
      <c r="M15" s="508">
        <f>RESUM!M15</f>
        <v>0</v>
      </c>
      <c r="N15" s="508">
        <f>RESUM!N15</f>
        <v>0</v>
      </c>
      <c r="O15" s="508">
        <f>RESUM!O15</f>
        <v>0</v>
      </c>
    </row>
    <row r="16" spans="1:29" ht="16.5" customHeight="1">
      <c r="A16" s="256" t="s">
        <v>80</v>
      </c>
      <c r="B16" s="270">
        <f>'driving mode datasheet'!F27</f>
        <v>28</v>
      </c>
      <c r="C16" s="270">
        <f>'driving mode datasheet'!F28</f>
        <v>34</v>
      </c>
      <c r="D16" s="270">
        <f>'driving mode datasheet'!F29</f>
        <v>40</v>
      </c>
      <c r="E16" s="270">
        <f>'driving mode datasheet'!F30</f>
        <v>47</v>
      </c>
      <c r="F16" s="270">
        <f>'driving mode datasheet'!F31</f>
        <v>58</v>
      </c>
      <c r="G16" s="270">
        <f>'driving mode datasheet'!F32</f>
        <v>65</v>
      </c>
      <c r="H16" s="270">
        <f>'driving mode datasheet'!F33</f>
        <v>74</v>
      </c>
      <c r="I16" s="508">
        <f>'driving mode datasheet'!F34</f>
        <v>86</v>
      </c>
      <c r="J16" s="508">
        <f>'driving mode datasheet'!F35</f>
        <v>102</v>
      </c>
      <c r="K16" s="508">
        <f>'driving mode datasheet'!F36</f>
        <v>115</v>
      </c>
      <c r="L16" s="508">
        <f>'driving mode datasheet'!F37</f>
        <v>0</v>
      </c>
      <c r="M16" s="508">
        <f>'driving mode datasheet'!F38</f>
        <v>0</v>
      </c>
      <c r="N16" s="508">
        <f>'driving mode datasheet'!F39</f>
        <v>0</v>
      </c>
      <c r="O16" s="508">
        <f>'driving mode datasheet'!F40</f>
        <v>0</v>
      </c>
    </row>
    <row r="17" spans="1:29" ht="16.5" customHeight="1">
      <c r="A17" s="256" t="s">
        <v>131</v>
      </c>
      <c r="B17" s="271">
        <f>B13/B18*1000/B14/B15/3^0.5</f>
        <v>0.74514751593675388</v>
      </c>
      <c r="C17" s="271">
        <f t="shared" ref="C17:K17" si="2">C13/C18*1000/C14/C15/3^0.5</f>
        <v>0.75320073041481272</v>
      </c>
      <c r="D17" s="271">
        <f t="shared" si="2"/>
        <v>0.76765445650204167</v>
      </c>
      <c r="E17" s="271">
        <f t="shared" si="2"/>
        <v>0.76176755050776035</v>
      </c>
      <c r="F17" s="271">
        <f t="shared" si="2"/>
        <v>0.76826861967705773</v>
      </c>
      <c r="G17" s="271">
        <f t="shared" si="2"/>
        <v>0.76479333710399122</v>
      </c>
      <c r="H17" s="271">
        <f t="shared" si="2"/>
        <v>0.76101893014296074</v>
      </c>
      <c r="I17" s="509">
        <f t="shared" si="2"/>
        <v>0.75737900895404731</v>
      </c>
      <c r="J17" s="509">
        <f t="shared" si="2"/>
        <v>0.76068456028514519</v>
      </c>
      <c r="K17" s="509">
        <f t="shared" si="2"/>
        <v>0.7418607620222164</v>
      </c>
      <c r="L17" s="509" t="e">
        <f>L13/L18*1000/L14/L15/3^0.5</f>
        <v>#DIV/0!</v>
      </c>
      <c r="M17" s="509" t="e">
        <f>M13/M18*1000/M14/M15/3^0.5</f>
        <v>#DIV/0!</v>
      </c>
      <c r="N17" s="509" t="e">
        <f>N13/N18*1000/N14/N15/3^0.5</f>
        <v>#DIV/0!</v>
      </c>
      <c r="O17" s="509" t="e">
        <f>O13/O18*1000/O14/O15/3^0.5</f>
        <v>#DIV/0!</v>
      </c>
    </row>
    <row r="18" spans="1:29" s="259" customFormat="1" ht="16.5" customHeight="1">
      <c r="A18" s="258" t="s">
        <v>141</v>
      </c>
      <c r="B18" s="272">
        <f>B13*1000/(B13*1000+3*B23/1000*B15^2+3*B24/1000*(B15^2-B32^2)+3*(2*PI()*B16*B28/1000*B32)^2/B25)</f>
        <v>0.93115160095468241</v>
      </c>
      <c r="C18" s="272">
        <f t="shared" ref="C18:K18" si="3">C13*1000/(C13*1000+3*C23/1000*C15^2+3*C24/1000*(C15^2-C32^2)+3*(2*PI()*C16*C28/1000*C32)^2/C25)</f>
        <v>0.94113561784735777</v>
      </c>
      <c r="D18" s="272">
        <f t="shared" si="3"/>
        <v>0.94791987304804703</v>
      </c>
      <c r="E18" s="272">
        <f t="shared" si="3"/>
        <v>0.95367833872315799</v>
      </c>
      <c r="F18" s="272">
        <f t="shared" si="3"/>
        <v>0.95942955319216916</v>
      </c>
      <c r="G18" s="272">
        <f t="shared" si="3"/>
        <v>0.9619126130372837</v>
      </c>
      <c r="H18" s="272">
        <f t="shared" si="3"/>
        <v>0.96453520039930085</v>
      </c>
      <c r="I18" s="510">
        <f t="shared" si="3"/>
        <v>0.96669456758266437</v>
      </c>
      <c r="J18" s="510">
        <f t="shared" si="3"/>
        <v>0.96878348129777081</v>
      </c>
      <c r="K18" s="510">
        <f t="shared" si="3"/>
        <v>0.96891187214346541</v>
      </c>
      <c r="L18" s="510" t="e">
        <f>L13*1000/(L13*1000+3*L23/1000*L15^2+3*L24/1000*(L15^2-L32^2)+3*(2*PI()*L16*L28/1000*L32)^2/L25)</f>
        <v>#DIV/0!</v>
      </c>
      <c r="M18" s="510" t="e">
        <f>M13*1000/(M13*1000+3*M23/1000*M15^2+3*M24/1000*(M15^2-M32^2)+3*(2*PI()*M16*M28/1000*M32)^2/M25)</f>
        <v>#DIV/0!</v>
      </c>
      <c r="N18" s="510" t="e">
        <f>N13*1000/(N13*1000+3*N23/1000*N15^2+3*N24/1000*(N15^2-N32^2)+3*(2*PI()*N16*N28/1000*N32)^2/N25)</f>
        <v>#DIV/0!</v>
      </c>
      <c r="O18" s="510" t="e">
        <f>O13*1000/(O13*1000+3*O23/1000*O15^2+3*O24/1000*(O15^2-O32^2)+3*(2*PI()*O16*O28/1000*O32)^2/O25)</f>
        <v>#DIV/0!</v>
      </c>
      <c r="P18" s="235"/>
      <c r="Q18" s="235"/>
      <c r="R18" s="235"/>
      <c r="S18" s="235"/>
      <c r="T18" s="235"/>
      <c r="U18" s="235"/>
      <c r="V18" s="235"/>
      <c r="W18" s="235"/>
      <c r="X18" s="235"/>
      <c r="Y18" s="235"/>
      <c r="Z18" s="235"/>
      <c r="AA18" s="235"/>
      <c r="AB18" s="235"/>
      <c r="AC18" s="235"/>
    </row>
    <row r="19" spans="1:29" ht="16.5" customHeight="1">
      <c r="A19" s="256" t="s">
        <v>142</v>
      </c>
      <c r="B19" s="273">
        <f>RESUM!B19</f>
        <v>1.315005809909723</v>
      </c>
      <c r="C19" s="273">
        <f>RESUM!C19</f>
        <v>1.315005809909723</v>
      </c>
      <c r="D19" s="273">
        <f>RESUM!D19</f>
        <v>1.315005809909723</v>
      </c>
      <c r="E19" s="273">
        <f>RESUM!E19</f>
        <v>1.315005809909723</v>
      </c>
      <c r="F19" s="273">
        <f>RESUM!F19</f>
        <v>1.315005809909723</v>
      </c>
      <c r="G19" s="273">
        <f>RESUM!G19</f>
        <v>1.315005809909723</v>
      </c>
      <c r="H19" s="273">
        <f>RESUM!H19</f>
        <v>1.315005809909723</v>
      </c>
      <c r="I19" s="511">
        <f>RESUM!I19</f>
        <v>1.315005809909723</v>
      </c>
      <c r="J19" s="511">
        <f>RESUM!J19</f>
        <v>1.315005809909723</v>
      </c>
      <c r="K19" s="511">
        <f>RESUM!K19</f>
        <v>1.315005809909723</v>
      </c>
      <c r="L19" s="511">
        <f>RESUM!L19</f>
        <v>0</v>
      </c>
      <c r="M19" s="511">
        <f>RESUM!M19</f>
        <v>0</v>
      </c>
      <c r="N19" s="511">
        <f>RESUM!N19</f>
        <v>0</v>
      </c>
      <c r="O19" s="511">
        <f>RESUM!O19</f>
        <v>0</v>
      </c>
    </row>
    <row r="20" spans="1:29" s="255" customFormat="1" ht="16.5" customHeight="1">
      <c r="A20" s="274"/>
      <c r="B20" s="252" t="s">
        <v>178</v>
      </c>
      <c r="C20" s="275"/>
      <c r="D20" s="275"/>
      <c r="E20" s="275"/>
      <c r="F20" s="275"/>
      <c r="G20" s="275"/>
      <c r="H20" s="275"/>
      <c r="I20" s="512"/>
      <c r="J20" s="512"/>
      <c r="K20" s="512"/>
      <c r="L20" s="512"/>
      <c r="M20" s="512"/>
      <c r="N20" s="512"/>
      <c r="O20" s="512"/>
      <c r="P20" s="254"/>
      <c r="Q20" s="254"/>
      <c r="R20" s="254"/>
      <c r="S20" s="254"/>
      <c r="T20" s="254"/>
      <c r="U20" s="254"/>
      <c r="V20" s="254"/>
      <c r="W20" s="254"/>
      <c r="X20" s="254"/>
      <c r="Y20" s="254"/>
      <c r="Z20" s="254"/>
      <c r="AA20" s="254"/>
      <c r="AB20" s="254"/>
      <c r="AC20" s="254"/>
    </row>
    <row r="21" spans="1:29" s="263" customFormat="1" ht="16.5" customHeight="1">
      <c r="A21" s="261"/>
      <c r="B21" s="257" t="str">
        <f>RESUM!B21</f>
        <v>MAC QE 200 P</v>
      </c>
      <c r="C21" s="257" t="str">
        <f>RESUM!C21</f>
        <v>MAC QE 200 P</v>
      </c>
      <c r="D21" s="257" t="str">
        <f>RESUM!D21</f>
        <v>MAC QE 200 P</v>
      </c>
      <c r="E21" s="257" t="str">
        <f>RESUM!E21</f>
        <v>MAC QE 200 P</v>
      </c>
      <c r="F21" s="257" t="str">
        <f>RESUM!F21</f>
        <v>MAC QE 200 P</v>
      </c>
      <c r="G21" s="257" t="str">
        <f>RESUM!G21</f>
        <v>MAC QE 200 P</v>
      </c>
      <c r="H21" s="257" t="str">
        <f>RESUM!H21</f>
        <v>MAC QE 200 P</v>
      </c>
      <c r="I21" s="513" t="str">
        <f>RESUM!I21</f>
        <v>MAC QE 200 P</v>
      </c>
      <c r="J21" s="513" t="str">
        <f>RESUM!J21</f>
        <v>MAC QE 200 P</v>
      </c>
      <c r="K21" s="513" t="str">
        <f>RESUM!K21</f>
        <v>MAC QE 200 P</v>
      </c>
      <c r="L21" s="513">
        <f>RESUM!L21</f>
        <v>0</v>
      </c>
      <c r="M21" s="513">
        <f>RESUM!M21</f>
        <v>0</v>
      </c>
      <c r="N21" s="513">
        <f>RESUM!N21</f>
        <v>0</v>
      </c>
      <c r="O21" s="513">
        <f>RESUM!O21</f>
        <v>0</v>
      </c>
      <c r="P21" s="235"/>
      <c r="Q21" s="235"/>
      <c r="R21" s="235"/>
      <c r="S21" s="235"/>
      <c r="T21" s="235"/>
      <c r="U21" s="235"/>
      <c r="V21" s="235"/>
      <c r="W21" s="235"/>
      <c r="X21" s="235"/>
      <c r="Y21" s="235"/>
      <c r="Z21" s="235"/>
      <c r="AA21" s="235"/>
      <c r="AB21" s="235"/>
      <c r="AC21" s="235"/>
    </row>
    <row r="22" spans="1:29" s="259" customFormat="1" ht="16.5" customHeight="1">
      <c r="A22" s="258"/>
      <c r="B22" s="386" t="str">
        <f>RESUM!B22</f>
        <v>A61</v>
      </c>
      <c r="C22" s="386" t="str">
        <f>RESUM!C22</f>
        <v>B61</v>
      </c>
      <c r="D22" s="386" t="str">
        <f>RESUM!D22</f>
        <v>C61</v>
      </c>
      <c r="E22" s="386" t="str">
        <f>RESUM!E22</f>
        <v>D61</v>
      </c>
      <c r="F22" s="386" t="str">
        <f>RESUM!F22</f>
        <v>E61</v>
      </c>
      <c r="G22" s="386" t="str">
        <f>RESUM!G22</f>
        <v>F61</v>
      </c>
      <c r="H22" s="386" t="str">
        <f>RESUM!H22</f>
        <v>G61</v>
      </c>
      <c r="I22" s="503" t="str">
        <f>RESUM!I22</f>
        <v>H61</v>
      </c>
      <c r="J22" s="503" t="str">
        <f>RESUM!J22</f>
        <v>E62</v>
      </c>
      <c r="K22" s="503" t="str">
        <f>RESUM!K22</f>
        <v>F62</v>
      </c>
      <c r="L22" s="503">
        <f>RESUM!L22</f>
        <v>0</v>
      </c>
      <c r="M22" s="503">
        <f>RESUM!M22</f>
        <v>0</v>
      </c>
      <c r="N22" s="503">
        <f>RESUM!N22</f>
        <v>0</v>
      </c>
      <c r="O22" s="503">
        <f>RESUM!O22</f>
        <v>0</v>
      </c>
      <c r="P22" s="235"/>
      <c r="Q22" s="235"/>
      <c r="R22" s="235"/>
      <c r="S22" s="235"/>
      <c r="T22" s="235"/>
      <c r="U22" s="235"/>
      <c r="V22" s="235"/>
      <c r="W22" s="235"/>
      <c r="X22" s="235"/>
      <c r="Y22" s="235"/>
      <c r="Z22" s="235"/>
      <c r="AA22" s="235"/>
      <c r="AB22" s="235"/>
      <c r="AC22" s="235"/>
    </row>
    <row r="23" spans="1:29" s="263" customFormat="1" ht="16.5" customHeight="1">
      <c r="A23" s="261" t="s">
        <v>143</v>
      </c>
      <c r="B23" s="276">
        <f>RESUM!B23</f>
        <v>66.724863859764341</v>
      </c>
      <c r="C23" s="276">
        <f>RESUM!C23</f>
        <v>45.945448073922975</v>
      </c>
      <c r="D23" s="276">
        <f>RESUM!D23</f>
        <v>34.278316719627725</v>
      </c>
      <c r="E23" s="276">
        <f>RESUM!E23</f>
        <v>24.465738932004356</v>
      </c>
      <c r="F23" s="276">
        <f>RESUM!F23</f>
        <v>16.532384281627166</v>
      </c>
      <c r="G23" s="276">
        <f>RESUM!G23</f>
        <v>13.185177405916406</v>
      </c>
      <c r="H23" s="276">
        <f>RESUM!H23</f>
        <v>9.9783456992589272</v>
      </c>
      <c r="I23" s="514">
        <f>RESUM!I23</f>
        <v>7.4138737621960376</v>
      </c>
      <c r="J23" s="514">
        <f>RESUM!J23</f>
        <v>5.5107947605423897</v>
      </c>
      <c r="K23" s="514">
        <f>RESUM!K23</f>
        <v>4.3950591353054671</v>
      </c>
      <c r="L23" s="514">
        <f>RESUM!L23</f>
        <v>0</v>
      </c>
      <c r="M23" s="514">
        <f>RESUM!M23</f>
        <v>0</v>
      </c>
      <c r="N23" s="514">
        <f>RESUM!N23</f>
        <v>0</v>
      </c>
      <c r="O23" s="514">
        <f>RESUM!O23</f>
        <v>0</v>
      </c>
      <c r="P23" s="235"/>
      <c r="Q23" s="235"/>
      <c r="R23" s="235"/>
      <c r="S23" s="235"/>
      <c r="T23" s="235"/>
      <c r="U23" s="235"/>
      <c r="V23" s="235"/>
      <c r="W23" s="235"/>
      <c r="X23" s="235"/>
      <c r="Y23" s="235"/>
      <c r="Z23" s="235"/>
      <c r="AA23" s="235"/>
      <c r="AB23" s="235"/>
      <c r="AC23" s="235"/>
    </row>
    <row r="24" spans="1:29" ht="16.5" customHeight="1">
      <c r="A24" s="256" t="s">
        <v>144</v>
      </c>
      <c r="B24" s="270">
        <f>RESUM!B24</f>
        <v>79.917523756946395</v>
      </c>
      <c r="C24" s="270">
        <f>RESUM!C24</f>
        <v>55.498280386768336</v>
      </c>
      <c r="D24" s="270">
        <f>RESUM!D24</f>
        <v>41.684733735065898</v>
      </c>
      <c r="E24" s="270">
        <f>RESUM!E24</f>
        <v>29.845633367012439</v>
      </c>
      <c r="F24" s="270">
        <f>RESUM!F24</f>
        <v>19.979380939236602</v>
      </c>
      <c r="G24" s="270">
        <f>RESUM!G24</f>
        <v>15.786098601447328</v>
      </c>
      <c r="H24" s="270">
        <f>RESUM!H24</f>
        <v>12.086288719892346</v>
      </c>
      <c r="I24" s="508">
        <f>RESUM!I24</f>
        <v>8.8797248618829308</v>
      </c>
      <c r="J24" s="508">
        <f>RESUM!J24</f>
        <v>6.6597936464122007</v>
      </c>
      <c r="K24" s="508">
        <f>RESUM!K24</f>
        <v>5.2620328671491094</v>
      </c>
      <c r="L24" s="508">
        <f>RESUM!L24</f>
        <v>0</v>
      </c>
      <c r="M24" s="508">
        <f>RESUM!M24</f>
        <v>0</v>
      </c>
      <c r="N24" s="508">
        <f>RESUM!N24</f>
        <v>0</v>
      </c>
      <c r="O24" s="508">
        <f>RESUM!O24</f>
        <v>0</v>
      </c>
    </row>
    <row r="25" spans="1:29" ht="16.5" customHeight="1">
      <c r="A25" s="256" t="s">
        <v>145</v>
      </c>
      <c r="B25" s="270">
        <f>RESUM!B25</f>
        <v>296.49103117856657</v>
      </c>
      <c r="C25" s="270">
        <f>RESUM!C25</f>
        <v>241.92750863366794</v>
      </c>
      <c r="D25" s="270">
        <f>RESUM!D25</f>
        <v>206.96989398326392</v>
      </c>
      <c r="E25" s="270">
        <f>RESUM!E25</f>
        <v>167.88420399344784</v>
      </c>
      <c r="F25" s="270">
        <f>RESUM!F25</f>
        <v>131.21998441155787</v>
      </c>
      <c r="G25" s="270">
        <f>RESUM!G25</f>
        <v>112.33354377914422</v>
      </c>
      <c r="H25" s="270">
        <f>RESUM!H25</f>
        <v>93.89275653461803</v>
      </c>
      <c r="I25" s="508">
        <f>RESUM!I25</f>
        <v>75.996027768312089</v>
      </c>
      <c r="J25" s="508">
        <f>RESUM!J25</f>
        <v>63.208813239326652</v>
      </c>
      <c r="K25" s="508">
        <f>RESUM!K25</f>
        <v>53.483251352003123</v>
      </c>
      <c r="L25" s="508">
        <f>RESUM!L25</f>
        <v>0</v>
      </c>
      <c r="M25" s="508">
        <f>RESUM!M25</f>
        <v>0</v>
      </c>
      <c r="N25" s="508">
        <f>RESUM!N25</f>
        <v>0</v>
      </c>
      <c r="O25" s="508">
        <f>RESUM!O25</f>
        <v>0</v>
      </c>
    </row>
    <row r="26" spans="1:29" ht="16.5" customHeight="1">
      <c r="A26" s="256" t="s">
        <v>146</v>
      </c>
      <c r="B26" s="277">
        <f>RESUM!B26</f>
        <v>1.3145781214200589</v>
      </c>
      <c r="C26" s="277">
        <f>RESUM!C26</f>
        <v>0.91290147320837445</v>
      </c>
      <c r="D26" s="277">
        <f>RESUM!D26</f>
        <v>0.68567989083339542</v>
      </c>
      <c r="E26" s="277">
        <f>RESUM!E26</f>
        <v>0.49093634036413442</v>
      </c>
      <c r="F26" s="277">
        <f>RESUM!F26</f>
        <v>0.32864453035501484</v>
      </c>
      <c r="G26" s="277">
        <f>RESUM!G26</f>
        <v>0.25966845403213196</v>
      </c>
      <c r="H26" s="277">
        <f>RESUM!H26</f>
        <v>0.19880959736262502</v>
      </c>
      <c r="I26" s="515">
        <f>RESUM!I26</f>
        <v>0.1460642357133399</v>
      </c>
      <c r="J26" s="515">
        <f>RESUM!J26</f>
        <v>0.10954817678500491</v>
      </c>
      <c r="K26" s="515">
        <f>RESUM!K26</f>
        <v>8.6556151344043944E-2</v>
      </c>
      <c r="L26" s="515">
        <f>RESUM!L26</f>
        <v>0</v>
      </c>
      <c r="M26" s="515">
        <f>RESUM!M26</f>
        <v>0</v>
      </c>
      <c r="N26" s="515">
        <f>RESUM!N26</f>
        <v>0</v>
      </c>
      <c r="O26" s="515">
        <f>RESUM!O26</f>
        <v>0</v>
      </c>
    </row>
    <row r="27" spans="1:29" ht="16.5" customHeight="1">
      <c r="A27" s="256" t="s">
        <v>147</v>
      </c>
      <c r="B27" s="277">
        <f>RESUM!B27</f>
        <v>1.2767793791339472</v>
      </c>
      <c r="C27" s="277">
        <f>RESUM!C27</f>
        <v>0.87660235013599663</v>
      </c>
      <c r="D27" s="277">
        <f>RESUM!D27</f>
        <v>0.64592888105291879</v>
      </c>
      <c r="E27" s="277">
        <f>RESUM!E27</f>
        <v>0.46591579897783009</v>
      </c>
      <c r="F27" s="277">
        <f>RESUM!F27</f>
        <v>0.30932047261287898</v>
      </c>
      <c r="G27" s="277">
        <f>RESUM!G27</f>
        <v>0.24554822450004252</v>
      </c>
      <c r="H27" s="277">
        <f>RESUM!H27</f>
        <v>0.18896213466750447</v>
      </c>
      <c r="I27" s="515">
        <f>RESUM!I27</f>
        <v>0.13956136504824015</v>
      </c>
      <c r="J27" s="515">
        <f>RESUM!J27</f>
        <v>0.10525607682505633</v>
      </c>
      <c r="K27" s="515">
        <f>RESUM!K27</f>
        <v>8.5524031658602728E-2</v>
      </c>
      <c r="L27" s="515">
        <f>RESUM!L27</f>
        <v>0</v>
      </c>
      <c r="M27" s="515">
        <f>RESUM!M27</f>
        <v>0</v>
      </c>
      <c r="N27" s="515">
        <f>RESUM!N27</f>
        <v>0</v>
      </c>
      <c r="O27" s="515">
        <f>RESUM!O27</f>
        <v>0</v>
      </c>
    </row>
    <row r="28" spans="1:29" ht="16.5" customHeight="1">
      <c r="A28" s="256" t="s">
        <v>148</v>
      </c>
      <c r="B28" s="277">
        <f>RESUM!B28</f>
        <v>25.583370713670384</v>
      </c>
      <c r="C28" s="277">
        <f>RESUM!C28</f>
        <v>17.994327921113527</v>
      </c>
      <c r="D28" s="277">
        <f>RESUM!D28</f>
        <v>13.827754435019413</v>
      </c>
      <c r="E28" s="277">
        <f>RESUM!E28</f>
        <v>9.802278112576575</v>
      </c>
      <c r="F28" s="277">
        <f>RESUM!F28</f>
        <v>6.6258117830686736</v>
      </c>
      <c r="G28" s="277">
        <f>RESUM!G28</f>
        <v>5.2040803255309971</v>
      </c>
      <c r="H28" s="277">
        <f>RESUM!H28</f>
        <v>3.9587351380380791</v>
      </c>
      <c r="I28" s="515">
        <f>RESUM!I28</f>
        <v>2.8895336337487825</v>
      </c>
      <c r="J28" s="515">
        <f>RESUM!J28</f>
        <v>2.2234748888735187</v>
      </c>
      <c r="K28" s="515">
        <f>RESUM!K28</f>
        <v>1.7574928715395688</v>
      </c>
      <c r="L28" s="515">
        <f>RESUM!L28</f>
        <v>0</v>
      </c>
      <c r="M28" s="515">
        <f>RESUM!M28</f>
        <v>0</v>
      </c>
      <c r="N28" s="515">
        <f>RESUM!N28</f>
        <v>0</v>
      </c>
      <c r="O28" s="515">
        <f>RESUM!O28</f>
        <v>0</v>
      </c>
    </row>
    <row r="29" spans="1:29" ht="16.5" customHeight="1">
      <c r="A29" s="256" t="s">
        <v>149</v>
      </c>
      <c r="B29" s="277">
        <f>RESUM!B29</f>
        <v>0.4031173280716146</v>
      </c>
      <c r="C29" s="277">
        <f>RESUM!C29</f>
        <v>0.41151474600708016</v>
      </c>
      <c r="D29" s="277">
        <f>RESUM!D29</f>
        <v>0.42339985491593385</v>
      </c>
      <c r="E29" s="277">
        <f>RESUM!E29</f>
        <v>0.42071954096901826</v>
      </c>
      <c r="F29" s="277">
        <f>RESUM!F29</f>
        <v>0.42065658497621189</v>
      </c>
      <c r="G29" s="277">
        <f>RESUM!G29</f>
        <v>0.41438568563449552</v>
      </c>
      <c r="H29" s="277">
        <f>RESUM!H29</f>
        <v>0.41665671452027125</v>
      </c>
      <c r="I29" s="515">
        <f>RESUM!I29</f>
        <v>0.40944828126706034</v>
      </c>
      <c r="J29" s="515">
        <f>RESUM!J29</f>
        <v>0.423355099769475</v>
      </c>
      <c r="K29" s="515">
        <f>RESUM!K29</f>
        <v>0.41957319938436888</v>
      </c>
      <c r="L29" s="515">
        <f>RESUM!L29</f>
        <v>0</v>
      </c>
      <c r="M29" s="515">
        <f>RESUM!M29</f>
        <v>0</v>
      </c>
      <c r="N29" s="515">
        <f>RESUM!N29</f>
        <v>0</v>
      </c>
      <c r="O29" s="515">
        <f>RESUM!O29</f>
        <v>0</v>
      </c>
    </row>
    <row r="30" spans="1:29" ht="16.5" customHeight="1">
      <c r="A30" s="256" t="s">
        <v>150</v>
      </c>
      <c r="B30" s="277">
        <f>RESUM!B30</f>
        <v>0.33609837780377499</v>
      </c>
      <c r="C30" s="277">
        <f>RESUM!C30</f>
        <v>0.34002729705745355</v>
      </c>
      <c r="D30" s="277">
        <f>RESUM!D30</f>
        <v>0.34721784258146349</v>
      </c>
      <c r="E30" s="277">
        <f>RESUM!E30</f>
        <v>0.34404342455347459</v>
      </c>
      <c r="F30" s="277">
        <f>RESUM!F30</f>
        <v>0.3471144715030664</v>
      </c>
      <c r="G30" s="277">
        <f>RESUM!G30</f>
        <v>0.34521693343099968</v>
      </c>
      <c r="H30" s="277">
        <f>RESUM!H30</f>
        <v>0.34317377061157345</v>
      </c>
      <c r="I30" s="515">
        <f>RESUM!I30</f>
        <v>0.34112487108690753</v>
      </c>
      <c r="J30" s="515">
        <f>RESUM!J30</f>
        <v>0.34967013834627159</v>
      </c>
      <c r="K30" s="515">
        <f>RESUM!K30</f>
        <v>0.3502480789704171</v>
      </c>
      <c r="L30" s="515">
        <f>RESUM!L30</f>
        <v>0</v>
      </c>
      <c r="M30" s="515">
        <f>RESUM!M30</f>
        <v>0</v>
      </c>
      <c r="N30" s="515">
        <f>RESUM!N30</f>
        <v>0</v>
      </c>
      <c r="O30" s="515">
        <f>RESUM!O30</f>
        <v>0</v>
      </c>
    </row>
    <row r="31" spans="1:29" ht="16.5" customHeight="1">
      <c r="A31" s="256" t="s">
        <v>151</v>
      </c>
      <c r="B31" s="278">
        <f>RESUM!B31</f>
        <v>98.583944798243834</v>
      </c>
      <c r="C31" s="278">
        <f>RESUM!C31</f>
        <v>82.153287331869862</v>
      </c>
      <c r="D31" s="278">
        <f>RESUM!D31</f>
        <v>71.198967999038345</v>
      </c>
      <c r="E31" s="278">
        <f>RESUM!E31</f>
        <v>60.245634505654792</v>
      </c>
      <c r="F31" s="278">
        <f>RESUM!F31</f>
        <v>49.291972399121903</v>
      </c>
      <c r="G31" s="278">
        <f>RESUM!G31</f>
        <v>43.814977039280805</v>
      </c>
      <c r="H31" s="278">
        <f>RESUM!H31</f>
        <v>38.338195277986777</v>
      </c>
      <c r="I31" s="516">
        <f>RESUM!I31</f>
        <v>32.861314932747938</v>
      </c>
      <c r="J31" s="516">
        <f>RESUM!J31</f>
        <v>28.45873353352064</v>
      </c>
      <c r="K31" s="516">
        <f>RESUM!K31</f>
        <v>25.296588788166055</v>
      </c>
      <c r="L31" s="516">
        <f>RESUM!L31</f>
        <v>0</v>
      </c>
      <c r="M31" s="516">
        <f>RESUM!M31</f>
        <v>0</v>
      </c>
      <c r="N31" s="516">
        <f>RESUM!N31</f>
        <v>0</v>
      </c>
      <c r="O31" s="516">
        <f>RESUM!O31</f>
        <v>0</v>
      </c>
    </row>
    <row r="32" spans="1:29" s="280" customFormat="1" ht="16.5" customHeight="1">
      <c r="A32" s="279" t="s">
        <v>152</v>
      </c>
      <c r="B32" s="60">
        <f>RESUM!B32</f>
        <v>47.379104359497909</v>
      </c>
      <c r="C32" s="60">
        <f>RESUM!C32</f>
        <v>55.668351044921167</v>
      </c>
      <c r="D32" s="60">
        <f>RESUM!D32</f>
        <v>61.730627470251463</v>
      </c>
      <c r="E32" s="60">
        <f>RESUM!E32</f>
        <v>74.257111966692307</v>
      </c>
      <c r="F32" s="60">
        <f>RESUM!F32</f>
        <v>89.209428032583105</v>
      </c>
      <c r="G32" s="60">
        <f>RESUM!G32</f>
        <v>101.43541686790246</v>
      </c>
      <c r="H32" s="60">
        <f>RESUM!H32</f>
        <v>117.24327434675257</v>
      </c>
      <c r="I32" s="517">
        <f>RESUM!I32</f>
        <v>138.32269547468172</v>
      </c>
      <c r="J32" s="517">
        <f>RESUM!J32</f>
        <v>152.62759372619101</v>
      </c>
      <c r="K32" s="517">
        <f>RESUM!K32</f>
        <v>171.58262270251331</v>
      </c>
      <c r="L32" s="517">
        <f>RESUM!L32</f>
        <v>0</v>
      </c>
      <c r="M32" s="517">
        <f>RESUM!M32</f>
        <v>0</v>
      </c>
      <c r="N32" s="517">
        <f>RESUM!N32</f>
        <v>0</v>
      </c>
      <c r="O32" s="517">
        <f>RESUM!O32</f>
        <v>0</v>
      </c>
      <c r="P32" s="267"/>
      <c r="Q32" s="267"/>
      <c r="R32" s="267"/>
      <c r="S32" s="267"/>
      <c r="T32" s="267"/>
      <c r="U32" s="267"/>
      <c r="V32" s="267"/>
      <c r="W32" s="267"/>
      <c r="X32" s="267"/>
      <c r="Y32" s="267"/>
      <c r="Z32" s="267"/>
      <c r="AA32" s="267"/>
      <c r="AB32" s="267"/>
      <c r="AC32" s="267"/>
    </row>
    <row r="33" spans="1:15" ht="16.5" customHeight="1">
      <c r="A33" s="279"/>
      <c r="B33" s="60">
        <f>RESUM!B33</f>
        <v>0</v>
      </c>
      <c r="C33" s="60">
        <f>RESUM!C33</f>
        <v>0</v>
      </c>
      <c r="D33" s="60">
        <f>RESUM!D33</f>
        <v>0</v>
      </c>
      <c r="E33" s="60">
        <f>RESUM!E33</f>
        <v>0</v>
      </c>
      <c r="F33" s="60">
        <f>RESUM!F33</f>
        <v>0</v>
      </c>
      <c r="G33" s="60">
        <f>RESUM!G33</f>
        <v>0</v>
      </c>
      <c r="H33" s="60">
        <f>RESUM!H33</f>
        <v>0</v>
      </c>
      <c r="I33" s="517">
        <f>RESUM!I33</f>
        <v>0</v>
      </c>
      <c r="J33" s="517">
        <f>RESUM!J33</f>
        <v>0</v>
      </c>
      <c r="K33" s="517">
        <f>RESUM!K33</f>
        <v>0</v>
      </c>
      <c r="L33" s="517">
        <f>RESUM!L33</f>
        <v>0</v>
      </c>
      <c r="M33" s="517">
        <f>RESUM!M33</f>
        <v>0</v>
      </c>
      <c r="N33" s="517">
        <f>RESUM!N33</f>
        <v>0</v>
      </c>
      <c r="O33" s="517">
        <f>RESUM!O33</f>
        <v>0</v>
      </c>
    </row>
    <row r="34" spans="1:15" ht="16.5" customHeight="1">
      <c r="B34" s="239"/>
      <c r="C34" s="239"/>
      <c r="D34" s="239"/>
      <c r="E34" s="239"/>
      <c r="F34" s="239"/>
      <c r="G34" s="239"/>
      <c r="H34" s="239"/>
      <c r="I34" s="239"/>
    </row>
    <row r="35" spans="1:15" ht="16.5" customHeight="1">
      <c r="B35" s="281"/>
      <c r="C35" s="281"/>
      <c r="D35" s="281"/>
      <c r="E35" s="281"/>
      <c r="F35" s="281"/>
      <c r="G35" s="281"/>
      <c r="H35" s="281"/>
      <c r="I35" s="281"/>
    </row>
    <row r="36" spans="1:15" ht="16.5" customHeight="1">
      <c r="B36" s="239"/>
      <c r="C36" s="239"/>
      <c r="D36" s="239"/>
      <c r="E36" s="239"/>
      <c r="F36" s="239"/>
      <c r="G36" s="239"/>
      <c r="H36" s="239"/>
      <c r="I36" s="239"/>
    </row>
    <row r="37" spans="1:15" ht="16.5" customHeight="1">
      <c r="B37" s="239"/>
      <c r="C37" s="239"/>
      <c r="D37" s="239"/>
      <c r="E37" s="239"/>
      <c r="F37" s="239"/>
      <c r="G37" s="239"/>
      <c r="H37" s="239"/>
      <c r="I37" s="239"/>
    </row>
    <row r="38" spans="1:15" ht="16.5" customHeight="1">
      <c r="B38" s="239"/>
      <c r="C38" s="239"/>
      <c r="D38" s="239"/>
      <c r="E38" s="239"/>
      <c r="F38" s="239"/>
      <c r="G38" s="239"/>
      <c r="H38" s="239"/>
      <c r="I38" s="239"/>
    </row>
    <row r="39" spans="1:15" ht="16.5" customHeight="1">
      <c r="B39" s="239"/>
      <c r="C39" s="239"/>
      <c r="D39" s="239"/>
      <c r="E39" s="239"/>
      <c r="F39" s="239"/>
      <c r="G39" s="239"/>
      <c r="H39" s="239"/>
      <c r="I39" s="239"/>
    </row>
    <row r="40" spans="1:15" ht="16.5" customHeight="1">
      <c r="B40" s="239"/>
      <c r="C40" s="239"/>
      <c r="D40" s="239"/>
      <c r="E40" s="239"/>
      <c r="F40" s="239"/>
      <c r="G40" s="239"/>
      <c r="H40" s="239"/>
      <c r="I40" s="239"/>
    </row>
    <row r="41" spans="1:15" ht="16.5" customHeight="1">
      <c r="B41" s="239"/>
      <c r="C41" s="239"/>
      <c r="D41" s="239"/>
      <c r="E41" s="239"/>
      <c r="F41" s="239"/>
      <c r="G41" s="239"/>
      <c r="H41" s="239"/>
      <c r="I41" s="239"/>
    </row>
    <row r="42" spans="1:15" ht="16.5" customHeight="1">
      <c r="B42" s="239"/>
      <c r="C42" s="239"/>
      <c r="D42" s="239"/>
      <c r="E42" s="239"/>
      <c r="F42" s="239"/>
      <c r="G42" s="239"/>
      <c r="H42" s="239"/>
      <c r="I42" s="239"/>
    </row>
    <row r="43" spans="1:15" ht="16.5" customHeight="1">
      <c r="B43" s="239"/>
      <c r="C43" s="239"/>
      <c r="D43" s="239"/>
      <c r="E43" s="239"/>
      <c r="F43" s="239"/>
      <c r="G43" s="239"/>
      <c r="H43" s="239"/>
      <c r="I43" s="239"/>
    </row>
    <row r="44" spans="1:15" ht="16.5" customHeight="1">
      <c r="B44" s="239"/>
      <c r="C44" s="239"/>
      <c r="D44" s="239"/>
      <c r="E44" s="239"/>
      <c r="F44" s="239"/>
      <c r="G44" s="239"/>
      <c r="H44" s="239"/>
      <c r="I44" s="239"/>
    </row>
    <row r="45" spans="1:15" ht="16.5" customHeight="1">
      <c r="B45" s="239"/>
      <c r="C45" s="239"/>
      <c r="D45" s="239"/>
      <c r="E45" s="239"/>
      <c r="F45" s="239"/>
      <c r="G45" s="239"/>
      <c r="H45" s="239"/>
      <c r="I45" s="239"/>
    </row>
    <row r="46" spans="1:15" ht="16.5" customHeight="1">
      <c r="B46" s="239"/>
      <c r="C46" s="239"/>
      <c r="D46" s="239"/>
      <c r="E46" s="239"/>
      <c r="F46" s="239"/>
      <c r="G46" s="239"/>
      <c r="H46" s="239"/>
      <c r="I46" s="239"/>
    </row>
    <row r="47" spans="1:15" ht="16.5" customHeight="1">
      <c r="B47" s="239"/>
      <c r="C47" s="239"/>
      <c r="D47" s="239"/>
      <c r="E47" s="239"/>
      <c r="F47" s="239"/>
      <c r="G47" s="239"/>
      <c r="H47" s="239"/>
      <c r="I47" s="239"/>
    </row>
    <row r="48" spans="1:15" ht="16.5" customHeight="1">
      <c r="B48" s="239"/>
      <c r="C48" s="239"/>
      <c r="D48" s="239"/>
      <c r="E48" s="239"/>
      <c r="F48" s="239"/>
      <c r="G48" s="239"/>
      <c r="H48" s="239"/>
      <c r="I48" s="239"/>
    </row>
    <row r="49" spans="1:15" ht="16.5" customHeight="1">
      <c r="B49" s="239"/>
      <c r="C49" s="239"/>
      <c r="D49" s="239"/>
      <c r="E49" s="239"/>
      <c r="F49" s="239"/>
      <c r="G49" s="239"/>
      <c r="H49" s="239"/>
      <c r="I49" s="239"/>
    </row>
    <row r="50" spans="1:15" s="282" customFormat="1" ht="16.5" customHeight="1">
      <c r="B50" s="283"/>
      <c r="C50" s="283"/>
      <c r="D50" s="283"/>
      <c r="E50" s="283"/>
      <c r="F50" s="283"/>
      <c r="G50" s="283"/>
      <c r="H50" s="283"/>
      <c r="I50" s="283"/>
    </row>
    <row r="51" spans="1:15" s="282" customFormat="1" ht="15" customHeight="1">
      <c r="B51" s="283"/>
      <c r="C51" s="283"/>
      <c r="D51" s="283"/>
      <c r="E51" s="283"/>
      <c r="F51" s="283"/>
      <c r="G51" s="283"/>
      <c r="H51" s="283"/>
      <c r="I51" s="283"/>
    </row>
    <row r="52" spans="1:15" s="282" customFormat="1" ht="15" customHeight="1">
      <c r="B52" s="283"/>
      <c r="C52" s="283"/>
      <c r="D52" s="283"/>
      <c r="E52" s="283"/>
      <c r="F52" s="283"/>
      <c r="G52" s="283"/>
      <c r="H52" s="283"/>
      <c r="I52" s="283"/>
    </row>
    <row r="53" spans="1:15" s="282" customFormat="1" ht="15" customHeight="1">
      <c r="B53" s="283"/>
      <c r="C53" s="283"/>
      <c r="D53" s="283"/>
      <c r="E53" s="283"/>
      <c r="F53" s="283"/>
      <c r="G53" s="283"/>
      <c r="H53" s="283"/>
      <c r="I53" s="283"/>
    </row>
    <row r="54" spans="1:15" s="282" customFormat="1" ht="15" customHeight="1">
      <c r="B54" s="283"/>
      <c r="C54" s="283"/>
      <c r="D54" s="283"/>
      <c r="E54" s="283"/>
      <c r="F54" s="283"/>
      <c r="G54" s="283"/>
      <c r="H54" s="283"/>
      <c r="I54" s="283"/>
    </row>
    <row r="55" spans="1:15" s="285" customFormat="1" ht="15" customHeight="1">
      <c r="B55" s="284"/>
      <c r="C55" s="284"/>
      <c r="D55" s="284"/>
      <c r="E55" s="284"/>
      <c r="F55" s="284"/>
      <c r="G55" s="284"/>
      <c r="H55" s="284"/>
      <c r="I55" s="284"/>
    </row>
    <row r="56" spans="1:15" s="285" customFormat="1" ht="15" customHeight="1">
      <c r="B56" s="284"/>
      <c r="C56" s="284"/>
      <c r="D56" s="284"/>
      <c r="E56" s="284"/>
      <c r="F56" s="284"/>
      <c r="G56" s="284"/>
      <c r="H56" s="284"/>
      <c r="I56" s="284"/>
    </row>
    <row r="57" spans="1:15" s="285" customFormat="1" ht="15" customHeight="1">
      <c r="B57" s="284"/>
      <c r="C57" s="284"/>
      <c r="D57" s="284"/>
      <c r="E57" s="284"/>
      <c r="F57" s="284"/>
      <c r="G57" s="284"/>
      <c r="H57" s="284"/>
      <c r="I57" s="284"/>
    </row>
    <row r="58" spans="1:15" s="285" customFormat="1" ht="15" customHeight="1">
      <c r="B58" s="284"/>
      <c r="C58" s="284"/>
      <c r="D58" s="284"/>
      <c r="E58" s="284"/>
      <c r="F58" s="284"/>
      <c r="G58" s="284"/>
      <c r="H58" s="284"/>
      <c r="I58" s="284"/>
    </row>
    <row r="59" spans="1:15" s="285" customFormat="1" ht="15" customHeight="1">
      <c r="B59" s="284"/>
      <c r="C59" s="284"/>
      <c r="D59" s="284"/>
      <c r="E59" s="284"/>
      <c r="F59" s="284"/>
      <c r="G59" s="284"/>
      <c r="H59" s="284"/>
      <c r="I59" s="284"/>
    </row>
    <row r="60" spans="1:15" s="285" customFormat="1" ht="15" customHeight="1">
      <c r="B60" s="284"/>
      <c r="C60" s="284"/>
      <c r="D60" s="284"/>
      <c r="E60" s="284"/>
      <c r="F60" s="284"/>
      <c r="G60" s="284"/>
      <c r="H60" s="284"/>
      <c r="I60" s="284"/>
    </row>
    <row r="61" spans="1:15" s="295" customFormat="1" ht="15" customHeight="1">
      <c r="A61" s="295" t="s">
        <v>153</v>
      </c>
      <c r="B61" s="296">
        <f>B16*120/B10-B12</f>
        <v>20</v>
      </c>
      <c r="C61" s="296">
        <f>C16*120/U12-C12</f>
        <v>20</v>
      </c>
      <c r="D61" s="296">
        <f>D16*120/V12-D12</f>
        <v>20</v>
      </c>
      <c r="E61" s="296">
        <f t="shared" ref="E61:K61" si="4">E16*120/E10-E12</f>
        <v>20</v>
      </c>
      <c r="F61" s="296">
        <f t="shared" si="4"/>
        <v>20</v>
      </c>
      <c r="G61" s="296">
        <f t="shared" si="4"/>
        <v>20</v>
      </c>
      <c r="H61" s="296">
        <f t="shared" si="4"/>
        <v>20</v>
      </c>
      <c r="I61" s="296">
        <f t="shared" si="4"/>
        <v>20</v>
      </c>
      <c r="J61" s="296">
        <f t="shared" si="4"/>
        <v>13.463999999999942</v>
      </c>
      <c r="K61" s="296">
        <f t="shared" si="4"/>
        <v>12.419999999999618</v>
      </c>
      <c r="L61" s="296">
        <f>L16*120/L10-L12</f>
        <v>0</v>
      </c>
      <c r="M61" s="296">
        <f>M16*120/M10-M12</f>
        <v>0</v>
      </c>
    </row>
    <row r="62" spans="1:15" s="297" customFormat="1" ht="15" customHeight="1">
      <c r="A62" s="297" t="s">
        <v>154</v>
      </c>
      <c r="B62" s="298"/>
      <c r="C62" s="298"/>
      <c r="D62" s="298"/>
      <c r="E62" s="298"/>
      <c r="F62" s="298"/>
      <c r="G62" s="298"/>
      <c r="H62" s="298"/>
      <c r="I62" s="298"/>
      <c r="L62" s="400"/>
      <c r="M62" s="400"/>
    </row>
    <row r="63" spans="1:15" s="295" customFormat="1" ht="15" customHeight="1">
      <c r="A63" s="295" t="s">
        <v>155</v>
      </c>
      <c r="B63" s="296">
        <f>2*PI()*B16*B28/1000*B32</f>
        <v>213.24679388627933</v>
      </c>
      <c r="C63" s="296">
        <f t="shared" ref="C63:K63" si="5">2*PI()*C16*C28/1000*C32</f>
        <v>213.9945797370178</v>
      </c>
      <c r="D63" s="296">
        <f t="shared" si="5"/>
        <v>214.53206320722026</v>
      </c>
      <c r="E63" s="296">
        <f t="shared" si="5"/>
        <v>214.95264873398804</v>
      </c>
      <c r="F63" s="296">
        <f t="shared" si="5"/>
        <v>215.40595812040436</v>
      </c>
      <c r="G63" s="296">
        <f t="shared" si="5"/>
        <v>215.58911745780316</v>
      </c>
      <c r="H63" s="296">
        <f t="shared" si="5"/>
        <v>215.80225220807782</v>
      </c>
      <c r="I63" s="296">
        <f t="shared" si="5"/>
        <v>215.97302784528063</v>
      </c>
      <c r="J63" s="295">
        <f t="shared" si="5"/>
        <v>217.49302140084751</v>
      </c>
      <c r="K63" s="295">
        <f t="shared" si="5"/>
        <v>217.89365443802521</v>
      </c>
      <c r="L63" s="401">
        <f>2*PI()*L16*L28/1000*L32</f>
        <v>0</v>
      </c>
      <c r="M63" s="401">
        <f>2*PI()*M16*M28/1000*M32</f>
        <v>0</v>
      </c>
      <c r="N63" s="295">
        <f t="shared" ref="N63:O63" si="6">2*PI()*N16*N28/1000*N32</f>
        <v>0</v>
      </c>
      <c r="O63" s="295">
        <f t="shared" si="6"/>
        <v>0</v>
      </c>
    </row>
    <row r="64" spans="1:15" s="295" customFormat="1" ht="15" customHeight="1">
      <c r="A64" s="295" t="s">
        <v>156</v>
      </c>
      <c r="B64" s="296">
        <f>B23/1000*(B15^2-B32^2)^0.5</f>
        <v>4.5417678426226287</v>
      </c>
      <c r="C64" s="296">
        <f t="shared" ref="C64:K64" si="7">C23/1000*(C15^2-C32^2)^0.5</f>
        <v>3.7733175665193444</v>
      </c>
      <c r="D64" s="296">
        <f t="shared" si="7"/>
        <v>3.2943350270914715</v>
      </c>
      <c r="E64" s="296">
        <f t="shared" si="7"/>
        <v>2.756752472071951</v>
      </c>
      <c r="F64" s="296">
        <f t="shared" si="7"/>
        <v>2.290975777573347</v>
      </c>
      <c r="G64" s="296">
        <f t="shared" si="7"/>
        <v>2.0463297117515395</v>
      </c>
      <c r="H64" s="296">
        <f t="shared" si="7"/>
        <v>1.7618899171717166</v>
      </c>
      <c r="I64" s="296">
        <f t="shared" si="7"/>
        <v>1.5209456580700929</v>
      </c>
      <c r="J64" s="295">
        <f t="shared" si="7"/>
        <v>1.2285374434639749</v>
      </c>
      <c r="K64" s="295">
        <f t="shared" si="7"/>
        <v>1.0200121175327896</v>
      </c>
      <c r="L64" s="401">
        <f>L23/1000*(L15^2-L32^2)^0.5</f>
        <v>0</v>
      </c>
      <c r="M64" s="401">
        <f>M23/1000*(M15^2-M32^2)^0.5</f>
        <v>0</v>
      </c>
      <c r="N64" s="295">
        <f t="shared" ref="N64:O64" si="8">N23/1000*(N15^2-N32^2)^0.5</f>
        <v>0</v>
      </c>
      <c r="O64" s="295">
        <f t="shared" si="8"/>
        <v>0</v>
      </c>
    </row>
    <row r="65" spans="1:15" s="295" customFormat="1" ht="15" customHeight="1">
      <c r="A65" s="295" t="s">
        <v>157</v>
      </c>
      <c r="B65" s="296">
        <f t="shared" ref="B65:K65" si="9">B23/1000*B32</f>
        <v>3.161364288185065</v>
      </c>
      <c r="C65" s="296">
        <f t="shared" si="9"/>
        <v>2.5577073322953412</v>
      </c>
      <c r="D65" s="296">
        <f t="shared" si="9"/>
        <v>2.1160219997266312</v>
      </c>
      <c r="E65" s="296">
        <f t="shared" si="9"/>
        <v>1.8167551152217105</v>
      </c>
      <c r="F65" s="296">
        <f t="shared" si="9"/>
        <v>1.4748445457788268</v>
      </c>
      <c r="G65" s="296">
        <f t="shared" si="9"/>
        <v>1.3374439666463793</v>
      </c>
      <c r="H65" s="296">
        <f t="shared" si="9"/>
        <v>1.1698939223449529</v>
      </c>
      <c r="I65" s="296">
        <f t="shared" si="9"/>
        <v>1.0255070026959754</v>
      </c>
      <c r="J65" s="295">
        <f t="shared" si="9"/>
        <v>0.8410993438204859</v>
      </c>
      <c r="K65" s="295">
        <f t="shared" si="9"/>
        <v>0.75411577336835234</v>
      </c>
      <c r="L65" s="401">
        <f>L23/1000*L32</f>
        <v>0</v>
      </c>
      <c r="M65" s="401">
        <f>M23/1000*M32</f>
        <v>0</v>
      </c>
      <c r="N65" s="295">
        <f t="shared" ref="N65:O65" si="10">N23/1000*N32</f>
        <v>0</v>
      </c>
      <c r="O65" s="295">
        <f t="shared" si="10"/>
        <v>0</v>
      </c>
    </row>
    <row r="66" spans="1:15" s="295" customFormat="1" ht="15" customHeight="1">
      <c r="A66" s="295" t="s">
        <v>158</v>
      </c>
      <c r="B66" s="296">
        <f>2*PI()*B16*B26/1000*B32</f>
        <v>10.957491600435688</v>
      </c>
      <c r="C66" s="296">
        <f t="shared" ref="C66:K66" si="11">2*PI()*C16*C26/1000*C32</f>
        <v>10.856530344282037</v>
      </c>
      <c r="D66" s="296">
        <f t="shared" si="11"/>
        <v>10.638048453308635</v>
      </c>
      <c r="E66" s="296">
        <f t="shared" si="11"/>
        <v>10.765667481485366</v>
      </c>
      <c r="F66" s="296">
        <f t="shared" si="11"/>
        <v>10.68427420818853</v>
      </c>
      <c r="G66" s="296">
        <f t="shared" si="11"/>
        <v>10.757269168536014</v>
      </c>
      <c r="H66" s="296">
        <f t="shared" si="11"/>
        <v>10.837693701503429</v>
      </c>
      <c r="I66" s="296">
        <f t="shared" si="11"/>
        <v>10.917310280963981</v>
      </c>
      <c r="J66" s="295">
        <f t="shared" si="11"/>
        <v>10.715643372970975</v>
      </c>
      <c r="K66" s="295">
        <f t="shared" si="11"/>
        <v>10.731216288759725</v>
      </c>
      <c r="L66" s="401">
        <f>2*PI()*L16*L26/1000*L32</f>
        <v>0</v>
      </c>
      <c r="M66" s="401">
        <f>2*PI()*M16*M26/1000*M32</f>
        <v>0</v>
      </c>
      <c r="N66" s="295">
        <f t="shared" ref="N66:O66" si="12">2*PI()*N16*N26/1000*N32</f>
        <v>0</v>
      </c>
      <c r="O66" s="295">
        <f t="shared" si="12"/>
        <v>0</v>
      </c>
    </row>
    <row r="67" spans="1:15" s="295" customFormat="1" ht="15" customHeight="1">
      <c r="A67" s="295" t="s">
        <v>159</v>
      </c>
      <c r="B67" s="296">
        <f t="shared" ref="B67:K67" si="13">2*PI()*B16*B26/1000*(B15^2-B32^2)^0.5</f>
        <v>15.742058949883685</v>
      </c>
      <c r="C67" s="296">
        <f t="shared" si="13"/>
        <v>16.016350323696624</v>
      </c>
      <c r="D67" s="296">
        <f t="shared" si="13"/>
        <v>16.561876787745302</v>
      </c>
      <c r="E67" s="296">
        <f t="shared" si="13"/>
        <v>16.335872784630943</v>
      </c>
      <c r="F67" s="296">
        <f t="shared" si="13"/>
        <v>16.596605711407836</v>
      </c>
      <c r="G67" s="296">
        <f t="shared" si="13"/>
        <v>16.458947115430256</v>
      </c>
      <c r="H67" s="296">
        <f t="shared" si="13"/>
        <v>16.321841573294407</v>
      </c>
      <c r="I67" s="296">
        <f t="shared" si="13"/>
        <v>16.191635577313367</v>
      </c>
      <c r="J67" s="295">
        <f t="shared" si="13"/>
        <v>15.651622143354249</v>
      </c>
      <c r="K67" s="295">
        <f t="shared" si="13"/>
        <v>14.514973744029549</v>
      </c>
      <c r="L67" s="401">
        <f>2*PI()*L16*L26/1000*(L15^2-L32^2)^0.5</f>
        <v>0</v>
      </c>
      <c r="M67" s="401">
        <f>2*PI()*M16*M26/1000*(M15^2-M32^2)^0.5</f>
        <v>0</v>
      </c>
      <c r="N67" s="295">
        <f t="shared" ref="N67:O67" si="14">2*PI()*N16*N26/1000*(N15^2-N32^2)^0.5</f>
        <v>0</v>
      </c>
      <c r="O67" s="295">
        <f t="shared" si="14"/>
        <v>0</v>
      </c>
    </row>
    <row r="68" spans="1:15" s="295" customFormat="1" ht="15" customHeight="1">
      <c r="A68" s="295" t="s">
        <v>160</v>
      </c>
      <c r="B68" s="296">
        <f>B63+B66-B64</f>
        <v>219.66251764409242</v>
      </c>
      <c r="C68" s="296">
        <f t="shared" ref="C68:K68" si="15">C63+C66-C64</f>
        <v>221.0777925147805</v>
      </c>
      <c r="D68" s="296">
        <f t="shared" si="15"/>
        <v>221.87577663343743</v>
      </c>
      <c r="E68" s="296">
        <f t="shared" si="15"/>
        <v>222.96156374340146</v>
      </c>
      <c r="F68" s="296">
        <f t="shared" si="15"/>
        <v>223.79925655101954</v>
      </c>
      <c r="G68" s="296">
        <f t="shared" si="15"/>
        <v>224.30005691458763</v>
      </c>
      <c r="H68" s="296">
        <f t="shared" si="15"/>
        <v>224.87805599240954</v>
      </c>
      <c r="I68" s="296">
        <f t="shared" si="15"/>
        <v>225.36939246817451</v>
      </c>
      <c r="J68" s="295">
        <f t="shared" si="15"/>
        <v>226.98012733035452</v>
      </c>
      <c r="K68" s="295">
        <f t="shared" si="15"/>
        <v>227.60485860925215</v>
      </c>
      <c r="L68" s="401">
        <f>L63+L66-L64</f>
        <v>0</v>
      </c>
      <c r="M68" s="401">
        <f>M63+M66-M64</f>
        <v>0</v>
      </c>
      <c r="N68" s="295">
        <f t="shared" ref="N68:O68" si="16">N63+N66-N64</f>
        <v>0</v>
      </c>
      <c r="O68" s="295">
        <f t="shared" si="16"/>
        <v>0</v>
      </c>
    </row>
    <row r="69" spans="1:15" s="295" customFormat="1" ht="15" customHeight="1">
      <c r="A69" s="295" t="s">
        <v>161</v>
      </c>
      <c r="B69" s="296">
        <f>B65-B67</f>
        <v>-12.580694661698619</v>
      </c>
      <c r="C69" s="296">
        <f t="shared" ref="C69:K69" si="17">C65-C67</f>
        <v>-13.458642991401284</v>
      </c>
      <c r="D69" s="296">
        <f t="shared" si="17"/>
        <v>-14.445854788018671</v>
      </c>
      <c r="E69" s="296">
        <f t="shared" si="17"/>
        <v>-14.519117669409233</v>
      </c>
      <c r="F69" s="296">
        <f t="shared" si="17"/>
        <v>-15.121761165629009</v>
      </c>
      <c r="G69" s="296">
        <f t="shared" si="17"/>
        <v>-15.121503148783876</v>
      </c>
      <c r="H69" s="296">
        <f t="shared" si="17"/>
        <v>-15.151947650949454</v>
      </c>
      <c r="I69" s="296">
        <f t="shared" si="17"/>
        <v>-15.166128574617391</v>
      </c>
      <c r="J69" s="295">
        <f t="shared" si="17"/>
        <v>-14.810522799533762</v>
      </c>
      <c r="K69" s="295">
        <f t="shared" si="17"/>
        <v>-13.760857970661196</v>
      </c>
      <c r="L69" s="401">
        <f>L65-L67</f>
        <v>0</v>
      </c>
      <c r="M69" s="401">
        <f>M65-M67</f>
        <v>0</v>
      </c>
      <c r="N69" s="295">
        <f t="shared" ref="N69:O69" si="18">N65-N67</f>
        <v>0</v>
      </c>
      <c r="O69" s="295">
        <f t="shared" si="18"/>
        <v>0</v>
      </c>
    </row>
    <row r="70" spans="1:15" s="295" customFormat="1" ht="15" customHeight="1">
      <c r="A70" s="295" t="s">
        <v>128</v>
      </c>
      <c r="B70" s="296">
        <f>3^0.5*(B68^2+B69^2)^0.5</f>
        <v>381.09012924469232</v>
      </c>
      <c r="C70" s="296">
        <f t="shared" ref="C70:K70" si="19">3^0.5*(C68^2+C69^2)^0.5</f>
        <v>383.62687111715076</v>
      </c>
      <c r="D70" s="296">
        <f t="shared" si="19"/>
        <v>385.11378699254931</v>
      </c>
      <c r="E70" s="296">
        <f t="shared" si="19"/>
        <v>386.99869645052166</v>
      </c>
      <c r="F70" s="296">
        <f t="shared" si="19"/>
        <v>388.5155398187029</v>
      </c>
      <c r="G70" s="296">
        <f t="shared" si="19"/>
        <v>389.38095249780486</v>
      </c>
      <c r="H70" s="296">
        <f t="shared" si="19"/>
        <v>390.38335614319823</v>
      </c>
      <c r="I70" s="296">
        <f t="shared" si="19"/>
        <v>391.23410325819975</v>
      </c>
      <c r="J70" s="295">
        <f t="shared" si="19"/>
        <v>393.97714320185929</v>
      </c>
      <c r="K70" s="295">
        <f t="shared" si="19"/>
        <v>394.94303212473454</v>
      </c>
      <c r="L70" s="401">
        <f>3^0.5*(L68^2+L69^2)^0.5</f>
        <v>0</v>
      </c>
      <c r="M70" s="401">
        <f>3^0.5*(M68^2+M69^2)^0.5</f>
        <v>0</v>
      </c>
      <c r="N70" s="295">
        <f t="shared" ref="N70:O70" si="20">3^0.5*(N68^2+N69^2)^0.5</f>
        <v>0</v>
      </c>
      <c r="O70" s="295">
        <f t="shared" si="20"/>
        <v>0</v>
      </c>
    </row>
    <row r="71" spans="1:15" s="295" customFormat="1" ht="15" customHeight="1">
      <c r="B71" s="296"/>
      <c r="C71" s="296"/>
      <c r="D71" s="296"/>
      <c r="E71" s="296"/>
      <c r="F71" s="296"/>
      <c r="G71" s="296"/>
      <c r="H71" s="296"/>
      <c r="I71" s="296"/>
      <c r="L71" s="401"/>
      <c r="M71" s="401"/>
    </row>
    <row r="72" spans="1:15" s="297" customFormat="1" ht="15" customHeight="1">
      <c r="A72" s="297" t="s">
        <v>162</v>
      </c>
      <c r="B72" s="298">
        <f>B14</f>
        <v>400</v>
      </c>
      <c r="C72" s="298"/>
      <c r="D72" s="298"/>
      <c r="E72" s="298"/>
      <c r="F72" s="298"/>
      <c r="G72" s="298"/>
      <c r="H72" s="298"/>
      <c r="I72" s="298"/>
      <c r="L72" s="400"/>
      <c r="M72" s="400"/>
    </row>
    <row r="73" spans="1:15" s="295" customFormat="1" ht="15" customHeight="1">
      <c r="A73" s="295" t="s">
        <v>155</v>
      </c>
      <c r="B73" s="296">
        <f>B63*B74/B16</f>
        <v>223.82819970585669</v>
      </c>
      <c r="C73" s="296">
        <f t="shared" ref="C73:K73" si="21">C63*C74/C16</f>
        <v>223.12783159724887</v>
      </c>
      <c r="D73" s="296">
        <f t="shared" si="21"/>
        <v>222.82459932951792</v>
      </c>
      <c r="E73" s="296">
        <f t="shared" si="21"/>
        <v>222.17402870396492</v>
      </c>
      <c r="F73" s="296">
        <f t="shared" si="21"/>
        <v>221.77332543343982</v>
      </c>
      <c r="G73" s="296">
        <f t="shared" si="21"/>
        <v>221.46858091012405</v>
      </c>
      <c r="H73" s="296">
        <f t="shared" si="21"/>
        <v>221.11829186582273</v>
      </c>
      <c r="I73" s="296">
        <f t="shared" si="21"/>
        <v>220.81206729848557</v>
      </c>
      <c r="J73" s="295">
        <f t="shared" si="21"/>
        <v>220.8179079966699</v>
      </c>
      <c r="K73" s="295">
        <f t="shared" si="21"/>
        <v>220.68362950047745</v>
      </c>
      <c r="L73" s="401" t="e">
        <f>L63*L74/L16</f>
        <v>#DIV/0!</v>
      </c>
      <c r="M73" s="401" t="e">
        <f>M63*M74/M16</f>
        <v>#DIV/0!</v>
      </c>
      <c r="N73" s="295" t="e">
        <f t="shared" ref="N73:O73" si="22">N63*N74/N16</f>
        <v>#DIV/0!</v>
      </c>
      <c r="O73" s="295" t="e">
        <f t="shared" si="22"/>
        <v>#DIV/0!</v>
      </c>
    </row>
    <row r="74" spans="1:15" s="295" customFormat="1" ht="15" customHeight="1">
      <c r="A74" s="295" t="s">
        <v>163</v>
      </c>
      <c r="B74" s="296">
        <f>B16*B14/B70</f>
        <v>29.389373118107308</v>
      </c>
      <c r="C74" s="296">
        <f t="shared" ref="C74:K74" si="23">C16*C14/C70</f>
        <v>35.451114152655052</v>
      </c>
      <c r="D74" s="296">
        <f t="shared" si="23"/>
        <v>41.546162563921783</v>
      </c>
      <c r="E74" s="296">
        <f t="shared" si="23"/>
        <v>48.578975000251987</v>
      </c>
      <c r="F74" s="296">
        <f t="shared" si="23"/>
        <v>59.714471165879388</v>
      </c>
      <c r="G74" s="296">
        <f t="shared" si="23"/>
        <v>66.772654987910784</v>
      </c>
      <c r="H74" s="296">
        <f t="shared" si="23"/>
        <v>75.822904676146834</v>
      </c>
      <c r="I74" s="296">
        <f t="shared" si="23"/>
        <v>87.926895210608208</v>
      </c>
      <c r="J74" s="295">
        <f t="shared" si="23"/>
        <v>103.55930719335053</v>
      </c>
      <c r="K74" s="295">
        <f t="shared" si="23"/>
        <v>116.4724941532121</v>
      </c>
      <c r="L74" s="401" t="e">
        <f>L16*L14/L70</f>
        <v>#DIV/0!</v>
      </c>
      <c r="M74" s="401" t="e">
        <f>M16*M14/M70</f>
        <v>#DIV/0!</v>
      </c>
      <c r="N74" s="295" t="e">
        <f t="shared" ref="N74:O74" si="24">N16*N14/N70</f>
        <v>#DIV/0!</v>
      </c>
      <c r="O74" s="295" t="e">
        <f t="shared" si="24"/>
        <v>#DIV/0!</v>
      </c>
    </row>
    <row r="75" spans="1:15" s="295" customFormat="1" ht="15" customHeight="1">
      <c r="A75" s="295" t="s">
        <v>164</v>
      </c>
      <c r="B75" s="296">
        <f>ROUND(B74,0)</f>
        <v>29</v>
      </c>
      <c r="C75" s="296">
        <f t="shared" ref="C75:K75" si="25">ROUND(C74,0)</f>
        <v>35</v>
      </c>
      <c r="D75" s="296">
        <f t="shared" si="25"/>
        <v>42</v>
      </c>
      <c r="E75" s="296">
        <f t="shared" si="25"/>
        <v>49</v>
      </c>
      <c r="F75" s="296">
        <f t="shared" si="25"/>
        <v>60</v>
      </c>
      <c r="G75" s="296">
        <f t="shared" si="25"/>
        <v>67</v>
      </c>
      <c r="H75" s="296">
        <f t="shared" si="25"/>
        <v>76</v>
      </c>
      <c r="I75" s="296">
        <f t="shared" si="25"/>
        <v>88</v>
      </c>
      <c r="J75" s="295">
        <f t="shared" si="25"/>
        <v>104</v>
      </c>
      <c r="K75" s="295">
        <f t="shared" si="25"/>
        <v>116</v>
      </c>
      <c r="L75" s="401" t="e">
        <f>ROUND(L74,0)</f>
        <v>#DIV/0!</v>
      </c>
      <c r="M75" s="401" t="e">
        <f>ROUND(M74,0)</f>
        <v>#DIV/0!</v>
      </c>
      <c r="N75" s="295" t="e">
        <f t="shared" ref="N75:O75" si="26">ROUND(N74,0)</f>
        <v>#DIV/0!</v>
      </c>
      <c r="O75" s="295" t="e">
        <f t="shared" si="26"/>
        <v>#DIV/0!</v>
      </c>
    </row>
    <row r="76" spans="1:15" s="295" customFormat="1" ht="15" customHeight="1">
      <c r="A76" s="295" t="s">
        <v>165</v>
      </c>
      <c r="B76" s="296">
        <f>B75*120/B10+B61</f>
        <v>600</v>
      </c>
      <c r="C76" s="296">
        <f>C75*120/U12+C61</f>
        <v>720</v>
      </c>
      <c r="D76" s="296">
        <f>D75*120/V12+D61</f>
        <v>860</v>
      </c>
      <c r="E76" s="296">
        <f t="shared" ref="E76:K76" si="27">E75*120/E10+E61</f>
        <v>1000</v>
      </c>
      <c r="F76" s="296">
        <f t="shared" si="27"/>
        <v>1220</v>
      </c>
      <c r="G76" s="296">
        <f t="shared" si="27"/>
        <v>1360</v>
      </c>
      <c r="H76" s="296">
        <f t="shared" si="27"/>
        <v>1540</v>
      </c>
      <c r="I76" s="296">
        <f t="shared" si="27"/>
        <v>1780</v>
      </c>
      <c r="J76" s="296">
        <f t="shared" si="27"/>
        <v>2093.4639999999999</v>
      </c>
      <c r="K76" s="296">
        <f t="shared" si="27"/>
        <v>2332.4199999999996</v>
      </c>
      <c r="L76" s="296" t="e">
        <f>L75*120/L10+L61</f>
        <v>#DIV/0!</v>
      </c>
      <c r="M76" s="296" t="e">
        <f>M75*120/M10+M61</f>
        <v>#DIV/0!</v>
      </c>
      <c r="N76" s="295" t="e">
        <f t="shared" ref="N76:O76" si="28">N75*120/N10+N61</f>
        <v>#DIV/0!</v>
      </c>
      <c r="O76" s="295" t="e">
        <f t="shared" si="28"/>
        <v>#DIV/0!</v>
      </c>
    </row>
    <row r="77" spans="1:15" s="295" customFormat="1" ht="15" customHeight="1">
      <c r="A77" s="295" t="s">
        <v>166</v>
      </c>
      <c r="B77" s="296">
        <f>B11</f>
        <v>705</v>
      </c>
      <c r="C77" s="296">
        <f t="shared" ref="C77:K77" si="29">C11</f>
        <v>705</v>
      </c>
      <c r="D77" s="296">
        <f t="shared" si="29"/>
        <v>705</v>
      </c>
      <c r="E77" s="296">
        <f t="shared" si="29"/>
        <v>705</v>
      </c>
      <c r="F77" s="296">
        <f t="shared" si="29"/>
        <v>705</v>
      </c>
      <c r="G77" s="296">
        <f t="shared" si="29"/>
        <v>705</v>
      </c>
      <c r="H77" s="296">
        <f t="shared" si="29"/>
        <v>705</v>
      </c>
      <c r="I77" s="296">
        <f t="shared" si="29"/>
        <v>705</v>
      </c>
      <c r="J77" s="295">
        <f t="shared" si="29"/>
        <v>650</v>
      </c>
      <c r="K77" s="295">
        <f t="shared" si="29"/>
        <v>600</v>
      </c>
      <c r="L77" s="401">
        <f>L11</f>
        <v>0</v>
      </c>
      <c r="M77" s="401">
        <f>M11</f>
        <v>0</v>
      </c>
      <c r="N77" s="295">
        <f t="shared" ref="N77:O77" si="30">N11</f>
        <v>0</v>
      </c>
      <c r="O77" s="295">
        <f t="shared" si="30"/>
        <v>0</v>
      </c>
    </row>
    <row r="78" spans="1:15" s="295" customFormat="1" ht="15" customHeight="1">
      <c r="A78" s="295" t="s">
        <v>167</v>
      </c>
      <c r="B78" s="296">
        <f>B76*B77*PI()/30000</f>
        <v>44.296456415616085</v>
      </c>
      <c r="C78" s="296">
        <f t="shared" ref="C78:K78" si="31">C76*C77*PI()/30000</f>
        <v>53.155747698739304</v>
      </c>
      <c r="D78" s="296">
        <f t="shared" si="31"/>
        <v>63.491587529049724</v>
      </c>
      <c r="E78" s="296">
        <f t="shared" si="31"/>
        <v>73.827427359360129</v>
      </c>
      <c r="F78" s="296">
        <f t="shared" si="31"/>
        <v>90.069461378419362</v>
      </c>
      <c r="G78" s="296">
        <f t="shared" si="31"/>
        <v>100.4053012087298</v>
      </c>
      <c r="H78" s="296">
        <f t="shared" si="31"/>
        <v>113.69423813341461</v>
      </c>
      <c r="I78" s="296">
        <f t="shared" si="31"/>
        <v>131.41282069966104</v>
      </c>
      <c r="J78" s="295">
        <f t="shared" si="31"/>
        <v>142.49757433068518</v>
      </c>
      <c r="K78" s="295">
        <f t="shared" si="31"/>
        <v>146.55027074171807</v>
      </c>
      <c r="L78" s="401" t="e">
        <f>L76*L77*PI()/30000</f>
        <v>#DIV/0!</v>
      </c>
      <c r="M78" s="401" t="e">
        <f>M76*M77*PI()/30000</f>
        <v>#DIV/0!</v>
      </c>
      <c r="N78" s="295" t="e">
        <f t="shared" ref="N78:O78" si="32">N76*N77*PI()/30000</f>
        <v>#DIV/0!</v>
      </c>
      <c r="O78" s="295" t="e">
        <f t="shared" si="32"/>
        <v>#DIV/0!</v>
      </c>
    </row>
    <row r="79" spans="1:15" s="295" customFormat="1" ht="15" customHeight="1">
      <c r="A79" s="295" t="s">
        <v>168</v>
      </c>
      <c r="B79" s="296">
        <f>(3*B23/1000*B15^2+3*B73^2/B25+3*B24/1000*(B15^2-B32^2)+100)/1000</f>
        <v>3.0945073322665255</v>
      </c>
      <c r="C79" s="296">
        <f t="shared" ref="C79:K79" si="33">(3*C23/1000*C15^2+3*C73^2/C25+3*C24/1000*(C15^2-C32^2)+100)/1000</f>
        <v>3.1971354315592708</v>
      </c>
      <c r="D79" s="296">
        <f t="shared" si="33"/>
        <v>3.3163970189603744</v>
      </c>
      <c r="E79" s="296">
        <f t="shared" si="33"/>
        <v>3.4554492059893662</v>
      </c>
      <c r="F79" s="296">
        <f t="shared" si="33"/>
        <v>3.7225702317694918</v>
      </c>
      <c r="G79" s="296">
        <f t="shared" si="33"/>
        <v>3.9103629767706685</v>
      </c>
      <c r="H79" s="296">
        <f t="shared" si="33"/>
        <v>4.1374497511455273</v>
      </c>
      <c r="I79" s="296">
        <f t="shared" si="33"/>
        <v>4.5075041433056438</v>
      </c>
      <c r="J79" s="295">
        <f t="shared" si="33"/>
        <v>4.6139862045391951</v>
      </c>
      <c r="K79" s="295">
        <f t="shared" si="33"/>
        <v>4.7803930534821317</v>
      </c>
      <c r="L79" s="401" t="e">
        <f>(3*L23/1000*L15^2+3*L73^2/L25+3*L24/1000*(L15^2-L32^2)+100)/1000</f>
        <v>#DIV/0!</v>
      </c>
      <c r="M79" s="401" t="e">
        <f>(3*M23/1000*M15^2+3*M73^2/M25+3*M24/1000*(M15^2-M32^2)+100)/1000</f>
        <v>#DIV/0!</v>
      </c>
      <c r="N79" s="295" t="e">
        <f t="shared" ref="N79:O79" si="34">(3*N23/1000*N15^2+3*N73^2/N25+3*N24/1000*(N15^2-N32^2)+100)/1000</f>
        <v>#DIV/0!</v>
      </c>
      <c r="O79" s="295" t="e">
        <f t="shared" si="34"/>
        <v>#DIV/0!</v>
      </c>
    </row>
    <row r="80" spans="1:15" s="295" customFormat="1" ht="15" customHeight="1">
      <c r="A80" s="295" t="s">
        <v>169</v>
      </c>
      <c r="B80" s="296">
        <f>B78-B79</f>
        <v>41.201949083349561</v>
      </c>
      <c r="C80" s="296">
        <f t="shared" ref="C80:K80" si="35">C78-C79</f>
        <v>49.958612267180037</v>
      </c>
      <c r="D80" s="296">
        <f t="shared" si="35"/>
        <v>60.175190510089351</v>
      </c>
      <c r="E80" s="296">
        <f t="shared" si="35"/>
        <v>70.371978153370762</v>
      </c>
      <c r="F80" s="296">
        <f t="shared" si="35"/>
        <v>86.346891146649867</v>
      </c>
      <c r="G80" s="296">
        <f t="shared" si="35"/>
        <v>96.494938231959125</v>
      </c>
      <c r="H80" s="296">
        <f t="shared" si="35"/>
        <v>109.55678838226909</v>
      </c>
      <c r="I80" s="296">
        <f t="shared" si="35"/>
        <v>126.9053165563554</v>
      </c>
      <c r="J80" s="295">
        <f t="shared" si="35"/>
        <v>137.88358812614598</v>
      </c>
      <c r="K80" s="295">
        <f t="shared" si="35"/>
        <v>141.76987768823594</v>
      </c>
      <c r="L80" s="401" t="e">
        <f>L78-L79</f>
        <v>#DIV/0!</v>
      </c>
      <c r="M80" s="401" t="e">
        <f>M78-M79</f>
        <v>#DIV/0!</v>
      </c>
      <c r="N80" s="295" t="e">
        <f t="shared" ref="N80:O80" si="36">N78-N79</f>
        <v>#DIV/0!</v>
      </c>
      <c r="O80" s="295" t="e">
        <f t="shared" si="36"/>
        <v>#DIV/0!</v>
      </c>
    </row>
    <row r="81" spans="1:15" s="295" customFormat="1" ht="15" customHeight="1">
      <c r="A81" s="295" t="s">
        <v>170</v>
      </c>
      <c r="B81" s="296">
        <f>B80/B78</f>
        <v>0.93014097328165513</v>
      </c>
      <c r="C81" s="296">
        <f t="shared" ref="C81:K81" si="37">C80/C78</f>
        <v>0.93985343881005945</v>
      </c>
      <c r="D81" s="296">
        <f t="shared" si="37"/>
        <v>0.94776635538616827</v>
      </c>
      <c r="E81" s="296">
        <f t="shared" si="37"/>
        <v>0.95319558963947471</v>
      </c>
      <c r="F81" s="296">
        <f t="shared" si="37"/>
        <v>0.95867000673924951</v>
      </c>
      <c r="G81" s="296">
        <f t="shared" si="37"/>
        <v>0.96105421795766022</v>
      </c>
      <c r="H81" s="296">
        <f t="shared" si="37"/>
        <v>0.96360897597738915</v>
      </c>
      <c r="I81" s="296">
        <f t="shared" si="37"/>
        <v>0.96569966218435133</v>
      </c>
      <c r="J81" s="295">
        <f t="shared" si="37"/>
        <v>0.96762059827185676</v>
      </c>
      <c r="K81" s="295">
        <f t="shared" si="37"/>
        <v>0.96738052390290596</v>
      </c>
      <c r="L81" s="401" t="e">
        <f>L80/L78</f>
        <v>#DIV/0!</v>
      </c>
      <c r="M81" s="401" t="e">
        <f>M80/M78</f>
        <v>#DIV/0!</v>
      </c>
      <c r="N81" s="295" t="e">
        <f t="shared" ref="N81:O81" si="38">N80/N78</f>
        <v>#DIV/0!</v>
      </c>
      <c r="O81" s="295" t="e">
        <f t="shared" si="38"/>
        <v>#DIV/0!</v>
      </c>
    </row>
    <row r="82" spans="1:15" s="295" customFormat="1" ht="15" customHeight="1">
      <c r="A82" s="295" t="s">
        <v>171</v>
      </c>
      <c r="B82" s="296">
        <f>B80*1000/3^0.5/B14/B15</f>
        <v>0.71708216099146804</v>
      </c>
      <c r="C82" s="296">
        <f t="shared" ref="C82:K82" si="39">C80*1000/3^0.5/C14/C15</f>
        <v>0.72679450989672068</v>
      </c>
      <c r="D82" s="296">
        <f t="shared" si="39"/>
        <v>0.76040075610659819</v>
      </c>
      <c r="E82" s="296">
        <f t="shared" si="39"/>
        <v>0.7526942253183847</v>
      </c>
      <c r="F82" s="296">
        <f t="shared" si="39"/>
        <v>0.75622373808447851</v>
      </c>
      <c r="G82" s="296">
        <f t="shared" si="39"/>
        <v>0.75120166696107227</v>
      </c>
      <c r="H82" s="296">
        <f t="shared" si="39"/>
        <v>0.74607458050588471</v>
      </c>
      <c r="I82" s="296">
        <f t="shared" si="39"/>
        <v>0.74031355750950623</v>
      </c>
      <c r="J82" s="295">
        <f t="shared" si="39"/>
        <v>0.73662695248331644</v>
      </c>
      <c r="K82" s="295">
        <f t="shared" si="39"/>
        <v>0.70898081618137343</v>
      </c>
      <c r="L82" s="401" t="e">
        <f>L80*1000/3^0.5/L14/L15</f>
        <v>#DIV/0!</v>
      </c>
      <c r="M82" s="401" t="e">
        <f>M80*1000/3^0.5/M14/M15</f>
        <v>#DIV/0!</v>
      </c>
      <c r="N82" s="295" t="e">
        <f t="shared" ref="N82:O82" si="40">N80*1000/3^0.5/N14/N15</f>
        <v>#DIV/0!</v>
      </c>
      <c r="O82" s="295" t="e">
        <f t="shared" si="40"/>
        <v>#DIV/0!</v>
      </c>
    </row>
    <row r="83" spans="1:15" s="285" customFormat="1" ht="15" customHeight="1">
      <c r="B83" s="284"/>
      <c r="C83" s="284"/>
      <c r="D83" s="284"/>
      <c r="E83" s="284"/>
      <c r="F83" s="284"/>
      <c r="G83" s="284"/>
      <c r="H83" s="284"/>
      <c r="I83" s="284"/>
    </row>
    <row r="84" spans="1:15" s="282" customFormat="1" ht="15" customHeight="1">
      <c r="B84" s="283"/>
      <c r="C84" s="283"/>
      <c r="D84" s="283"/>
      <c r="E84" s="283"/>
      <c r="F84" s="283"/>
      <c r="G84" s="283"/>
      <c r="H84" s="283"/>
      <c r="I84" s="283"/>
    </row>
    <row r="85" spans="1:15" s="282" customFormat="1" ht="15" customHeight="1">
      <c r="B85" s="283"/>
      <c r="C85" s="283"/>
      <c r="D85" s="283"/>
      <c r="E85" s="283"/>
      <c r="F85" s="283"/>
      <c r="G85" s="283"/>
      <c r="H85" s="283"/>
      <c r="I85" s="283"/>
    </row>
    <row r="86" spans="1:15" s="282" customFormat="1" ht="15" customHeight="1">
      <c r="B86" s="283"/>
      <c r="C86" s="283"/>
      <c r="D86" s="283"/>
      <c r="E86" s="283"/>
      <c r="F86" s="283"/>
      <c r="G86" s="283"/>
      <c r="H86" s="283"/>
      <c r="I86" s="283"/>
    </row>
    <row r="87" spans="1:15" s="282" customFormat="1" ht="15" customHeight="1">
      <c r="B87" s="283"/>
      <c r="C87" s="283"/>
      <c r="D87" s="283"/>
      <c r="E87" s="283"/>
      <c r="F87" s="283"/>
      <c r="G87" s="283"/>
      <c r="H87" s="283"/>
      <c r="I87" s="283"/>
    </row>
    <row r="88" spans="1:15" s="282" customFormat="1" ht="15" customHeight="1">
      <c r="B88" s="283"/>
      <c r="C88" s="283"/>
      <c r="D88" s="283"/>
      <c r="E88" s="283"/>
      <c r="F88" s="283"/>
      <c r="G88" s="283"/>
      <c r="H88" s="283"/>
      <c r="I88" s="283"/>
    </row>
    <row r="89" spans="1:15" s="282" customFormat="1" ht="15" customHeight="1">
      <c r="B89" s="283"/>
      <c r="C89" s="283"/>
      <c r="D89" s="283"/>
      <c r="E89" s="283"/>
      <c r="F89" s="283"/>
      <c r="G89" s="283"/>
      <c r="H89" s="283"/>
      <c r="I89" s="283"/>
    </row>
    <row r="90" spans="1:15" s="282" customFormat="1" ht="15" customHeight="1">
      <c r="B90" s="283"/>
      <c r="C90" s="283"/>
      <c r="D90" s="283"/>
      <c r="E90" s="283"/>
      <c r="F90" s="283"/>
      <c r="G90" s="283"/>
      <c r="H90" s="283"/>
      <c r="I90" s="283"/>
    </row>
    <row r="91" spans="1:15" s="282" customFormat="1" ht="15" customHeight="1">
      <c r="B91" s="283"/>
      <c r="C91" s="283"/>
      <c r="D91" s="283"/>
      <c r="E91" s="283"/>
      <c r="F91" s="283"/>
      <c r="G91" s="283"/>
      <c r="H91" s="283"/>
      <c r="I91" s="283"/>
    </row>
    <row r="92" spans="1:15" s="282" customFormat="1" ht="15" customHeight="1">
      <c r="B92" s="283"/>
      <c r="C92" s="283"/>
      <c r="D92" s="283"/>
      <c r="E92" s="283"/>
      <c r="F92" s="283"/>
      <c r="G92" s="283"/>
      <c r="H92" s="283"/>
      <c r="I92" s="283"/>
    </row>
    <row r="93" spans="1:15" s="282" customFormat="1" ht="15" customHeight="1">
      <c r="B93" s="283"/>
      <c r="C93" s="283"/>
      <c r="D93" s="283"/>
      <c r="E93" s="283"/>
      <c r="F93" s="283"/>
      <c r="G93" s="283"/>
      <c r="H93" s="283"/>
      <c r="I93" s="283"/>
    </row>
    <row r="94" spans="1:15" s="282" customFormat="1" ht="15" customHeight="1">
      <c r="B94" s="283"/>
      <c r="C94" s="283"/>
      <c r="D94" s="283"/>
      <c r="E94" s="283"/>
      <c r="F94" s="283"/>
      <c r="G94" s="283"/>
      <c r="H94" s="283"/>
      <c r="I94" s="283"/>
    </row>
    <row r="95" spans="1:15" s="282" customFormat="1" ht="15" customHeight="1">
      <c r="B95" s="283"/>
      <c r="C95" s="283"/>
      <c r="D95" s="283"/>
      <c r="E95" s="283"/>
      <c r="F95" s="283"/>
      <c r="G95" s="283"/>
      <c r="H95" s="283"/>
      <c r="I95" s="283"/>
    </row>
    <row r="96" spans="1:15" s="282" customFormat="1" ht="15" customHeight="1">
      <c r="B96" s="283"/>
      <c r="C96" s="283"/>
      <c r="D96" s="283"/>
      <c r="E96" s="283"/>
      <c r="F96" s="283"/>
      <c r="G96" s="283"/>
      <c r="H96" s="283"/>
      <c r="I96" s="283"/>
    </row>
    <row r="97" spans="2:9" s="282" customFormat="1" ht="15" customHeight="1">
      <c r="B97" s="283"/>
      <c r="C97" s="283"/>
      <c r="D97" s="283"/>
      <c r="E97" s="283"/>
      <c r="F97" s="283"/>
      <c r="G97" s="283"/>
      <c r="H97" s="283"/>
      <c r="I97" s="283"/>
    </row>
    <row r="98" spans="2:9" s="282" customFormat="1" ht="15" customHeight="1">
      <c r="B98" s="283"/>
      <c r="C98" s="283"/>
      <c r="D98" s="283"/>
      <c r="E98" s="283"/>
      <c r="F98" s="283"/>
      <c r="G98" s="283"/>
      <c r="H98" s="283"/>
      <c r="I98" s="283"/>
    </row>
    <row r="99" spans="2:9" s="282" customFormat="1" ht="15" customHeight="1">
      <c r="B99" s="283"/>
      <c r="C99" s="283"/>
      <c r="D99" s="283"/>
      <c r="E99" s="283"/>
      <c r="F99" s="283"/>
      <c r="G99" s="283"/>
      <c r="H99" s="283"/>
      <c r="I99" s="283"/>
    </row>
    <row r="100" spans="2:9" s="282" customFormat="1" ht="15" customHeight="1">
      <c r="B100" s="283"/>
      <c r="C100" s="283"/>
      <c r="D100" s="283"/>
      <c r="E100" s="283"/>
      <c r="F100" s="283"/>
      <c r="G100" s="283"/>
      <c r="H100" s="283"/>
      <c r="I100" s="283"/>
    </row>
    <row r="101" spans="2:9" s="282" customFormat="1" ht="15" customHeight="1">
      <c r="B101" s="283"/>
      <c r="C101" s="283"/>
      <c r="D101" s="283"/>
      <c r="E101" s="283"/>
      <c r="F101" s="283"/>
      <c r="G101" s="283"/>
      <c r="H101" s="283"/>
      <c r="I101" s="283"/>
    </row>
    <row r="102" spans="2:9" s="282" customFormat="1" ht="15" customHeight="1">
      <c r="B102" s="283"/>
      <c r="C102" s="283"/>
      <c r="D102" s="283"/>
      <c r="E102" s="283"/>
      <c r="F102" s="283"/>
      <c r="G102" s="283"/>
      <c r="H102" s="283"/>
      <c r="I102" s="283"/>
    </row>
    <row r="103" spans="2:9" s="282" customFormat="1" ht="15" customHeight="1">
      <c r="B103" s="283"/>
      <c r="C103" s="283"/>
      <c r="D103" s="283"/>
      <c r="E103" s="283"/>
      <c r="F103" s="283"/>
      <c r="G103" s="283"/>
      <c r="H103" s="283"/>
      <c r="I103" s="283"/>
    </row>
    <row r="104" spans="2:9" s="282" customFormat="1" ht="15" customHeight="1">
      <c r="B104" s="283"/>
      <c r="C104" s="283"/>
      <c r="D104" s="283"/>
      <c r="E104" s="283"/>
      <c r="F104" s="283"/>
      <c r="G104" s="283"/>
      <c r="H104" s="283"/>
      <c r="I104" s="283"/>
    </row>
    <row r="105" spans="2:9" s="282" customFormat="1" ht="15" customHeight="1">
      <c r="B105" s="283"/>
      <c r="C105" s="283"/>
      <c r="D105" s="283"/>
      <c r="E105" s="283"/>
      <c r="F105" s="283"/>
      <c r="G105" s="283"/>
      <c r="H105" s="283"/>
      <c r="I105" s="283"/>
    </row>
    <row r="106" spans="2:9" s="282" customFormat="1" ht="15" customHeight="1">
      <c r="B106" s="283"/>
      <c r="C106" s="283"/>
      <c r="D106" s="283"/>
      <c r="E106" s="283"/>
      <c r="F106" s="283"/>
      <c r="G106" s="283"/>
      <c r="H106" s="283"/>
      <c r="I106" s="283"/>
    </row>
    <row r="107" spans="2:9" s="282" customFormat="1" ht="15" customHeight="1">
      <c r="B107" s="283"/>
      <c r="C107" s="283"/>
      <c r="D107" s="283"/>
      <c r="E107" s="283"/>
      <c r="F107" s="283"/>
      <c r="G107" s="283"/>
      <c r="H107" s="283"/>
      <c r="I107" s="283"/>
    </row>
    <row r="108" spans="2:9" s="285" customFormat="1" ht="15" customHeight="1">
      <c r="B108" s="284"/>
      <c r="C108" s="284"/>
      <c r="D108" s="284"/>
      <c r="E108" s="284"/>
      <c r="F108" s="284"/>
      <c r="G108" s="284"/>
      <c r="H108" s="284"/>
      <c r="I108" s="284"/>
    </row>
    <row r="109" spans="2:9" s="285" customFormat="1" ht="15" customHeight="1">
      <c r="B109" s="284"/>
      <c r="C109" s="284"/>
      <c r="D109" s="284"/>
      <c r="E109" s="284"/>
      <c r="F109" s="284"/>
      <c r="G109" s="284"/>
      <c r="H109" s="284"/>
      <c r="I109" s="284"/>
    </row>
    <row r="110" spans="2:9" s="285" customFormat="1" ht="15" customHeight="1">
      <c r="B110" s="284"/>
      <c r="C110" s="284"/>
      <c r="D110" s="284"/>
      <c r="E110" s="284"/>
      <c r="F110" s="284"/>
      <c r="G110" s="284"/>
      <c r="H110" s="284"/>
      <c r="I110" s="284"/>
    </row>
    <row r="111" spans="2:9" s="285" customFormat="1" ht="15" customHeight="1">
      <c r="B111" s="284"/>
      <c r="C111" s="284"/>
      <c r="D111" s="284"/>
      <c r="E111" s="284"/>
      <c r="F111" s="284"/>
      <c r="G111" s="284"/>
      <c r="H111" s="284"/>
      <c r="I111" s="284"/>
    </row>
    <row r="112" spans="2:9" ht="15" customHeight="1">
      <c r="B112" s="239"/>
      <c r="C112" s="239"/>
      <c r="D112" s="239"/>
      <c r="E112" s="239"/>
      <c r="F112" s="239"/>
      <c r="G112" s="239"/>
      <c r="H112" s="239"/>
      <c r="I112" s="239"/>
    </row>
    <row r="113" spans="2:9" ht="15" customHeight="1">
      <c r="B113" s="239"/>
      <c r="C113" s="239"/>
      <c r="D113" s="239"/>
      <c r="E113" s="239"/>
      <c r="F113" s="239"/>
      <c r="G113" s="239"/>
      <c r="H113" s="239"/>
      <c r="I113" s="239"/>
    </row>
    <row r="114" spans="2:9" ht="15" customHeight="1">
      <c r="B114" s="239"/>
      <c r="C114" s="239"/>
      <c r="D114" s="239"/>
      <c r="E114" s="239"/>
      <c r="F114" s="239"/>
      <c r="G114" s="239"/>
      <c r="H114" s="239"/>
      <c r="I114" s="239"/>
    </row>
    <row r="115" spans="2:9" ht="15" customHeight="1">
      <c r="B115" s="239"/>
      <c r="C115" s="239"/>
      <c r="D115" s="239"/>
      <c r="E115" s="239"/>
      <c r="F115" s="239"/>
      <c r="G115" s="239"/>
      <c r="H115" s="239"/>
      <c r="I115" s="239"/>
    </row>
    <row r="116" spans="2:9" ht="15" customHeight="1">
      <c r="B116" s="239"/>
      <c r="C116" s="239"/>
      <c r="D116" s="239"/>
      <c r="E116" s="239"/>
      <c r="F116" s="239"/>
      <c r="G116" s="239"/>
      <c r="H116" s="239"/>
      <c r="I116" s="239"/>
    </row>
    <row r="117" spans="2:9" ht="15" customHeight="1">
      <c r="B117" s="239"/>
      <c r="C117" s="239"/>
      <c r="D117" s="239"/>
      <c r="E117" s="239"/>
      <c r="F117" s="239"/>
      <c r="G117" s="239"/>
      <c r="H117" s="239"/>
      <c r="I117" s="239"/>
    </row>
    <row r="118" spans="2:9" ht="15" customHeight="1">
      <c r="B118" s="239"/>
      <c r="C118" s="239"/>
      <c r="D118" s="239"/>
      <c r="E118" s="239"/>
      <c r="F118" s="239"/>
      <c r="G118" s="239"/>
      <c r="H118" s="239"/>
      <c r="I118" s="239"/>
    </row>
    <row r="119" spans="2:9" ht="15" customHeight="1">
      <c r="B119" s="239"/>
      <c r="C119" s="239"/>
      <c r="D119" s="239"/>
      <c r="E119" s="239"/>
      <c r="F119" s="239"/>
      <c r="G119" s="239"/>
      <c r="H119" s="239"/>
      <c r="I119" s="239"/>
    </row>
    <row r="120" spans="2:9" ht="15" customHeight="1">
      <c r="B120" s="239"/>
      <c r="C120" s="239"/>
      <c r="D120" s="239"/>
      <c r="E120" s="239"/>
      <c r="F120" s="239"/>
      <c r="G120" s="239"/>
      <c r="H120" s="239"/>
      <c r="I120" s="239"/>
    </row>
    <row r="121" spans="2:9" ht="15" customHeight="1">
      <c r="B121" s="239"/>
      <c r="C121" s="239"/>
      <c r="D121" s="239"/>
      <c r="E121" s="239"/>
      <c r="F121" s="239"/>
      <c r="G121" s="239"/>
      <c r="H121" s="239"/>
      <c r="I121" s="239"/>
    </row>
    <row r="122" spans="2:9" ht="15" customHeight="1">
      <c r="B122" s="239"/>
      <c r="C122" s="239"/>
      <c r="D122" s="239"/>
      <c r="E122" s="239"/>
      <c r="F122" s="239"/>
      <c r="G122" s="239"/>
      <c r="H122" s="239"/>
      <c r="I122" s="239"/>
    </row>
  </sheetData>
  <sheetProtection sheet="1" objects="1" scenarios="1"/>
  <pageMargins left="0.74803149606299213" right="0.39370078740157483" top="0.39370078740157483" bottom="0.59055118110236227" header="0.19685039370078741" footer="0.39370078740157483"/>
  <pageSetup paperSize="9" scale="41" fitToHeight="2" orientation="portrait" horizontalDpi="120" verticalDpi="14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>
              <from>
                <xdr:col>0</xdr:col>
                <xdr:colOff>104775</xdr:colOff>
                <xdr:row>1</xdr:row>
                <xdr:rowOff>142875</xdr:rowOff>
              </from>
              <to>
                <xdr:col>1</xdr:col>
                <xdr:colOff>723900</xdr:colOff>
                <xdr:row>4</xdr:row>
                <xdr:rowOff>76200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H153"/>
  <sheetViews>
    <sheetView zoomScaleNormal="100" zoomScaleSheetLayoutView="80" workbookViewId="0">
      <selection activeCell="C13" sqref="C13"/>
    </sheetView>
  </sheetViews>
  <sheetFormatPr defaultColWidth="10.7109375" defaultRowHeight="15" customHeight="1"/>
  <cols>
    <col min="1" max="2" width="11" style="76" customWidth="1"/>
    <col min="3" max="4" width="11" style="90" customWidth="1"/>
    <col min="5" max="5" width="11" style="76" customWidth="1"/>
    <col min="6" max="6" width="11" style="90" customWidth="1"/>
    <col min="7" max="8" width="11" style="76" customWidth="1"/>
    <col min="9" max="9" width="11" style="90" customWidth="1"/>
    <col min="10" max="10" width="11" style="170" customWidth="1"/>
    <col min="11" max="11" width="11.85546875" style="76" customWidth="1"/>
    <col min="12" max="12" width="11" style="90" customWidth="1"/>
    <col min="13" max="14" width="11" style="76" customWidth="1"/>
    <col min="15" max="28" width="8.7109375" style="404" customWidth="1"/>
    <col min="29" max="29" width="10.7109375" style="404" customWidth="1"/>
    <col min="30" max="44" width="10.7109375" style="205" customWidth="1"/>
    <col min="45" max="56" width="10.7109375" style="75" customWidth="1"/>
    <col min="57" max="16384" width="10.7109375" style="76"/>
  </cols>
  <sheetData>
    <row r="1" spans="1:56" ht="20.100000000000001" customHeight="1">
      <c r="A1" s="65"/>
      <c r="B1" s="66"/>
      <c r="C1" s="67"/>
      <c r="D1" s="68"/>
      <c r="E1" s="69"/>
      <c r="F1" s="69"/>
      <c r="G1" s="69"/>
      <c r="H1" s="69"/>
      <c r="I1" s="69"/>
      <c r="J1" s="70"/>
      <c r="K1" s="71"/>
      <c r="L1" s="72" t="s">
        <v>7</v>
      </c>
      <c r="M1" s="600" t="str">
        <f>'driving mode datasheet'!M1</f>
        <v>DT-QE 200 P</v>
      </c>
      <c r="N1" s="601"/>
    </row>
    <row r="2" spans="1:56" ht="20.100000000000001" customHeight="1">
      <c r="A2" s="77"/>
      <c r="C2" s="78"/>
      <c r="D2" s="602" t="str">
        <f>RESUM!H2</f>
        <v>MAC QE 200 P</v>
      </c>
      <c r="E2" s="603"/>
      <c r="F2" s="603"/>
      <c r="G2" s="603"/>
      <c r="H2" s="603"/>
      <c r="I2" s="603"/>
      <c r="J2" s="603"/>
      <c r="K2" s="604"/>
      <c r="L2" s="79" t="s">
        <v>8</v>
      </c>
      <c r="M2" s="605" t="str">
        <f>'driving mode datasheet'!M2</f>
        <v>06</v>
      </c>
      <c r="N2" s="546"/>
    </row>
    <row r="3" spans="1:56" ht="20.100000000000001" customHeight="1">
      <c r="A3" s="77"/>
      <c r="C3" s="78"/>
      <c r="D3" s="607" t="s">
        <v>172</v>
      </c>
      <c r="E3" s="608"/>
      <c r="F3" s="608"/>
      <c r="G3" s="608"/>
      <c r="H3" s="608"/>
      <c r="I3" s="608"/>
      <c r="J3" s="608"/>
      <c r="K3" s="609"/>
      <c r="L3" s="79" t="s">
        <v>10</v>
      </c>
      <c r="M3" s="605" t="str">
        <f>'driving mode datasheet'!M3</f>
        <v>1 de 3</v>
      </c>
      <c r="N3" s="546"/>
    </row>
    <row r="4" spans="1:56" ht="20.100000000000001" customHeight="1">
      <c r="A4" s="77"/>
      <c r="C4" s="78"/>
      <c r="D4" s="618" t="s">
        <v>173</v>
      </c>
      <c r="E4" s="619"/>
      <c r="F4" s="619"/>
      <c r="G4" s="619"/>
      <c r="H4" s="619"/>
      <c r="I4" s="619"/>
      <c r="J4" s="619"/>
      <c r="K4" s="620"/>
      <c r="L4" s="79" t="s">
        <v>13</v>
      </c>
      <c r="M4" s="611">
        <f>'driving mode datasheet'!M4</f>
        <v>45244</v>
      </c>
      <c r="N4" s="621"/>
    </row>
    <row r="5" spans="1:56" ht="20.100000000000001" customHeight="1" thickBot="1">
      <c r="A5" s="81"/>
      <c r="B5" s="82"/>
      <c r="C5" s="83"/>
      <c r="D5" s="84"/>
      <c r="E5" s="85"/>
      <c r="F5" s="86"/>
      <c r="G5" s="85"/>
      <c r="H5" s="85"/>
      <c r="I5" s="86"/>
      <c r="J5" s="87"/>
      <c r="K5" s="88"/>
      <c r="L5" s="85"/>
      <c r="M5" s="612"/>
      <c r="N5" s="613"/>
    </row>
    <row r="6" spans="1:56" ht="21" customHeight="1" thickBot="1">
      <c r="B6" s="89"/>
      <c r="D6" s="91"/>
      <c r="E6" s="91"/>
      <c r="F6" s="91"/>
      <c r="G6" s="92"/>
      <c r="H6" s="92"/>
      <c r="I6" s="93"/>
      <c r="J6" s="93"/>
      <c r="K6" s="92"/>
      <c r="L6" s="92"/>
      <c r="M6" s="92"/>
      <c r="N6" s="89"/>
    </row>
    <row r="7" spans="1:56" s="104" customFormat="1" ht="18" customHeight="1" thickBot="1">
      <c r="A7" s="94" t="s">
        <v>14</v>
      </c>
      <c r="B7" s="95"/>
      <c r="C7" s="95"/>
      <c r="D7" s="96"/>
      <c r="E7" s="97" t="s">
        <v>15</v>
      </c>
      <c r="F7" s="98"/>
      <c r="G7" s="99" t="s">
        <v>16</v>
      </c>
      <c r="H7" s="553" t="str">
        <f>'driving mode datasheet'!H7</f>
        <v>6316 ZZ C3</v>
      </c>
      <c r="I7" s="553"/>
      <c r="J7" s="614" t="str">
        <f>'driving mode datasheet'!J7</f>
        <v>Trasero</v>
      </c>
      <c r="K7" s="614"/>
      <c r="L7" s="614"/>
      <c r="M7" s="553" t="str">
        <f>'driving mode datasheet'!M7</f>
        <v>6312 ZZ C3</v>
      </c>
      <c r="N7" s="615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</row>
    <row r="8" spans="1:56" s="104" customFormat="1" ht="18" customHeight="1" thickBot="1">
      <c r="A8" s="105" t="s">
        <v>17</v>
      </c>
      <c r="B8" s="99"/>
      <c r="C8" s="553" t="str">
        <f>'driving mode datasheet'!C8</f>
        <v>IC 416</v>
      </c>
      <c r="D8" s="554"/>
      <c r="E8" s="106" t="s">
        <v>18</v>
      </c>
      <c r="F8" s="107"/>
      <c r="G8" s="108" t="s">
        <v>19</v>
      </c>
      <c r="H8" s="555"/>
      <c r="I8" s="555"/>
      <c r="J8" s="565" t="str">
        <f>'driving mode datasheet'!J8</f>
        <v>Non Drive End</v>
      </c>
      <c r="K8" s="565"/>
      <c r="L8" s="565"/>
      <c r="M8" s="616"/>
      <c r="N8" s="617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</row>
    <row r="9" spans="1:56" s="104" customFormat="1" ht="18" customHeight="1" thickBot="1">
      <c r="A9" s="452" t="s">
        <v>20</v>
      </c>
      <c r="B9" s="453"/>
      <c r="C9" s="555"/>
      <c r="D9" s="556"/>
      <c r="E9" s="109" t="s">
        <v>21</v>
      </c>
      <c r="F9" s="554">
        <f>'driving mode datasheet'!F9</f>
        <v>6</v>
      </c>
      <c r="G9" s="577" t="s">
        <v>22</v>
      </c>
      <c r="H9" s="578"/>
      <c r="I9" s="567">
        <f>'driving mode datasheet'!I9</f>
        <v>1.315005809909723</v>
      </c>
      <c r="J9" s="568"/>
      <c r="K9" s="111" t="s">
        <v>23</v>
      </c>
      <c r="M9" s="571">
        <f>'driving mode datasheet'!M9</f>
        <v>640</v>
      </c>
      <c r="N9" s="572"/>
      <c r="O9" s="101"/>
      <c r="P9" s="405"/>
      <c r="Q9" s="101"/>
      <c r="R9" s="406"/>
      <c r="S9" s="406"/>
      <c r="T9" s="406"/>
      <c r="U9" s="101"/>
      <c r="V9" s="101"/>
      <c r="W9" s="101"/>
      <c r="X9" s="101"/>
      <c r="Y9" s="101"/>
      <c r="Z9" s="101"/>
      <c r="AA9" s="101"/>
      <c r="AB9" s="101"/>
      <c r="AC9" s="101"/>
      <c r="AD9" s="102"/>
      <c r="AE9" s="102"/>
      <c r="AF9" s="102"/>
      <c r="AG9" s="102"/>
      <c r="AH9" s="102"/>
      <c r="AI9" s="102"/>
      <c r="AJ9" s="102"/>
      <c r="AK9" s="102"/>
      <c r="AL9" s="163"/>
      <c r="AM9" s="163"/>
      <c r="AN9" s="163"/>
      <c r="AO9" s="164"/>
      <c r="AP9" s="163"/>
      <c r="AQ9" s="102"/>
      <c r="AR9" s="102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</row>
    <row r="10" spans="1:56" s="104" customFormat="1" ht="18" customHeight="1" thickBot="1">
      <c r="A10" s="447" t="s">
        <v>226</v>
      </c>
      <c r="B10" s="443"/>
      <c r="C10" s="490" t="s">
        <v>229</v>
      </c>
      <c r="D10" s="491" t="s">
        <v>230</v>
      </c>
      <c r="E10" s="112" t="s">
        <v>24</v>
      </c>
      <c r="F10" s="556"/>
      <c r="G10" s="575" t="s">
        <v>25</v>
      </c>
      <c r="H10" s="576"/>
      <c r="I10" s="569"/>
      <c r="J10" s="570"/>
      <c r="K10" s="114" t="s">
        <v>26</v>
      </c>
      <c r="L10" s="115"/>
      <c r="M10" s="573"/>
      <c r="N10" s="574"/>
      <c r="O10" s="101"/>
      <c r="P10" s="405"/>
      <c r="Q10" s="407"/>
      <c r="S10" s="408"/>
      <c r="T10" s="406"/>
      <c r="U10" s="101"/>
      <c r="V10" s="101"/>
      <c r="W10" s="101"/>
      <c r="X10" s="101"/>
      <c r="Y10" s="101"/>
      <c r="Z10" s="101"/>
      <c r="AA10" s="101"/>
      <c r="AB10" s="101"/>
      <c r="AC10" s="101"/>
      <c r="AD10" s="102"/>
      <c r="AE10" s="102"/>
      <c r="AF10" s="102"/>
      <c r="AG10" s="102"/>
      <c r="AH10" s="102"/>
      <c r="AI10" s="102"/>
      <c r="AJ10" s="102"/>
      <c r="AK10" s="102"/>
      <c r="AL10" s="163"/>
      <c r="AM10" s="163"/>
      <c r="AN10" s="163"/>
      <c r="AO10" s="164"/>
      <c r="AP10" s="163"/>
      <c r="AQ10" s="102"/>
      <c r="AR10" s="102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</row>
    <row r="11" spans="1:56" s="104" customFormat="1" ht="18" customHeight="1">
      <c r="A11" s="448" t="s">
        <v>227</v>
      </c>
      <c r="B11" s="135"/>
      <c r="C11" s="443" t="s">
        <v>223</v>
      </c>
      <c r="D11" s="444" t="s">
        <v>224</v>
      </c>
      <c r="E11" s="117" t="s">
        <v>27</v>
      </c>
      <c r="F11" s="118"/>
      <c r="G11" s="566" t="str">
        <f>'driving mode datasheet'!G11</f>
        <v>IP 54</v>
      </c>
      <c r="H11" s="119" t="s">
        <v>28</v>
      </c>
      <c r="I11" s="100"/>
      <c r="J11" s="120" t="str">
        <f>'driving mode datasheet'!J11</f>
        <v>IM B3</v>
      </c>
      <c r="K11" s="121" t="s">
        <v>30</v>
      </c>
      <c r="L11" s="110" t="s">
        <v>31</v>
      </c>
      <c r="M11" s="97"/>
      <c r="N11" s="590" t="str">
        <f>'driving mode datasheet'!N11</f>
        <v>A</v>
      </c>
      <c r="O11" s="101"/>
      <c r="P11" s="405"/>
      <c r="Q11" s="405"/>
      <c r="S11" s="406"/>
      <c r="T11" s="406"/>
      <c r="U11" s="101"/>
      <c r="V11" s="101"/>
      <c r="W11" s="101"/>
      <c r="X11" s="101"/>
      <c r="Y11" s="101"/>
      <c r="Z11" s="101"/>
      <c r="AA11" s="101"/>
      <c r="AB11" s="101"/>
      <c r="AC11" s="101"/>
      <c r="AD11" s="102"/>
      <c r="AE11" s="102"/>
      <c r="AF11" s="102"/>
      <c r="AG11" s="102"/>
      <c r="AH11" s="102"/>
      <c r="AI11" s="102"/>
      <c r="AJ11" s="102"/>
      <c r="AK11" s="102"/>
      <c r="AL11" s="163"/>
      <c r="AM11" s="163"/>
      <c r="AN11" s="164"/>
      <c r="AO11" s="163"/>
      <c r="AP11" s="102"/>
      <c r="AQ11" s="102"/>
      <c r="AR11" s="102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</row>
    <row r="12" spans="1:56" s="104" customFormat="1" ht="18" customHeight="1" thickBot="1">
      <c r="A12" s="447" t="s">
        <v>33</v>
      </c>
      <c r="B12" s="443"/>
      <c r="C12" s="443" t="s">
        <v>257</v>
      </c>
      <c r="D12" s="444" t="s">
        <v>257</v>
      </c>
      <c r="E12" s="122" t="s">
        <v>34</v>
      </c>
      <c r="F12" s="123"/>
      <c r="G12" s="589"/>
      <c r="H12" s="124" t="s">
        <v>35</v>
      </c>
      <c r="I12" s="113"/>
      <c r="J12" s="123" t="str">
        <f>'driving mode datasheet'!J12</f>
        <v>IM B35</v>
      </c>
      <c r="K12" s="125" t="s">
        <v>37</v>
      </c>
      <c r="L12" s="126" t="s">
        <v>38</v>
      </c>
      <c r="M12" s="109"/>
      <c r="N12" s="591"/>
      <c r="O12" s="101"/>
      <c r="P12" s="405"/>
      <c r="Q12" s="405"/>
      <c r="S12" s="406"/>
      <c r="T12" s="406"/>
      <c r="U12" s="101"/>
      <c r="V12" s="101"/>
      <c r="W12" s="101"/>
      <c r="X12" s="101"/>
      <c r="Y12" s="101"/>
      <c r="Z12" s="101"/>
      <c r="AA12" s="101"/>
      <c r="AB12" s="101"/>
      <c r="AC12" s="101"/>
      <c r="AD12" s="102"/>
      <c r="AE12" s="102"/>
      <c r="AF12" s="102"/>
      <c r="AG12" s="102"/>
      <c r="AH12" s="102"/>
      <c r="AI12" s="102"/>
      <c r="AJ12" s="102"/>
      <c r="AK12" s="102"/>
      <c r="AL12" s="163"/>
      <c r="AM12" s="163"/>
      <c r="AN12" s="164"/>
      <c r="AO12" s="163"/>
      <c r="AP12" s="102"/>
      <c r="AQ12" s="102"/>
      <c r="AR12" s="102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</row>
    <row r="13" spans="1:56" s="104" customFormat="1" ht="18" customHeight="1">
      <c r="A13" s="447" t="s">
        <v>39</v>
      </c>
      <c r="B13" s="135"/>
      <c r="C13" s="443" t="s">
        <v>258</v>
      </c>
      <c r="D13" s="444" t="s">
        <v>259</v>
      </c>
      <c r="E13" s="127" t="s">
        <v>40</v>
      </c>
      <c r="F13" s="115"/>
      <c r="G13" s="592" t="str">
        <f>'driving mode datasheet'!G13</f>
        <v>&lt; 87 dB</v>
      </c>
      <c r="H13" s="593"/>
      <c r="I13" s="128" t="s">
        <v>41</v>
      </c>
      <c r="J13" s="129"/>
      <c r="K13" s="129"/>
      <c r="L13" s="596">
        <f>'driving mode datasheet'!L13</f>
        <v>4000</v>
      </c>
      <c r="M13" s="596"/>
      <c r="N13" s="597"/>
      <c r="O13" s="101"/>
      <c r="P13" s="405"/>
      <c r="Q13" s="405"/>
      <c r="S13" s="406"/>
      <c r="T13" s="406"/>
      <c r="U13" s="101"/>
      <c r="V13" s="101"/>
      <c r="W13" s="101"/>
      <c r="X13" s="101"/>
      <c r="Y13" s="101"/>
      <c r="Z13" s="101"/>
      <c r="AA13" s="101"/>
      <c r="AB13" s="101"/>
      <c r="AC13" s="101"/>
      <c r="AD13" s="102"/>
      <c r="AE13" s="102"/>
      <c r="AF13" s="102"/>
      <c r="AG13" s="102"/>
      <c r="AH13" s="102"/>
      <c r="AI13" s="102"/>
      <c r="AJ13" s="102"/>
      <c r="AK13" s="102"/>
      <c r="AL13" s="163"/>
      <c r="AM13" s="163"/>
      <c r="AN13" s="164"/>
      <c r="AO13" s="163"/>
      <c r="AP13" s="102"/>
      <c r="AQ13" s="102"/>
      <c r="AR13" s="102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</row>
    <row r="14" spans="1:56" s="104" customFormat="1" ht="18" customHeight="1" thickBot="1">
      <c r="A14" s="447"/>
      <c r="B14" s="135"/>
      <c r="C14" s="443"/>
      <c r="D14" s="444"/>
      <c r="E14" s="130" t="s">
        <v>42</v>
      </c>
      <c r="F14" s="131"/>
      <c r="G14" s="594"/>
      <c r="H14" s="595"/>
      <c r="I14" s="132" t="s">
        <v>43</v>
      </c>
      <c r="J14" s="131"/>
      <c r="K14" s="131"/>
      <c r="L14" s="598"/>
      <c r="M14" s="598"/>
      <c r="N14" s="599"/>
      <c r="O14" s="101"/>
      <c r="P14" s="405"/>
      <c r="Q14" s="405"/>
      <c r="S14" s="406"/>
      <c r="T14" s="406"/>
      <c r="U14" s="101"/>
      <c r="V14" s="101"/>
      <c r="W14" s="101"/>
      <c r="X14" s="101"/>
      <c r="Y14" s="101"/>
      <c r="Z14" s="101"/>
      <c r="AA14" s="101"/>
      <c r="AB14" s="101"/>
      <c r="AC14" s="101"/>
      <c r="AD14" s="102"/>
      <c r="AE14" s="102"/>
      <c r="AF14" s="102"/>
      <c r="AG14" s="102"/>
      <c r="AH14" s="102"/>
      <c r="AI14" s="102"/>
      <c r="AJ14" s="102"/>
      <c r="AK14" s="102"/>
      <c r="AL14" s="163"/>
      <c r="AM14" s="163"/>
      <c r="AN14" s="164"/>
      <c r="AO14" s="163"/>
      <c r="AP14" s="102"/>
      <c r="AQ14" s="102"/>
      <c r="AR14" s="102"/>
      <c r="AS14" s="103"/>
      <c r="AT14" s="103"/>
      <c r="AU14" s="103"/>
      <c r="AV14" s="103"/>
      <c r="AW14" s="103"/>
      <c r="AX14" s="103"/>
      <c r="AY14" s="103"/>
      <c r="AZ14" s="103"/>
      <c r="BA14" s="103"/>
      <c r="BB14" s="103"/>
      <c r="BC14" s="103"/>
      <c r="BD14" s="103"/>
    </row>
    <row r="15" spans="1:56" s="104" customFormat="1" ht="18" customHeight="1" thickBot="1">
      <c r="A15" s="449"/>
      <c r="B15" s="450"/>
      <c r="C15" s="450"/>
      <c r="D15" s="451"/>
      <c r="E15" s="97" t="s">
        <v>44</v>
      </c>
      <c r="F15" s="554" t="str">
        <f>'driving mode datasheet'!F15</f>
        <v>Cl. H</v>
      </c>
      <c r="G15" s="110" t="s">
        <v>46</v>
      </c>
      <c r="I15" s="554" t="str">
        <f>'driving mode datasheet'!I15</f>
        <v>Cl. F</v>
      </c>
      <c r="J15" s="110" t="s">
        <v>221</v>
      </c>
      <c r="K15" s="554" t="str">
        <f>'driving mode datasheet'!K15</f>
        <v>PTC155º C</v>
      </c>
      <c r="L15" s="402" t="s">
        <v>48</v>
      </c>
      <c r="M15" s="399"/>
      <c r="N15" s="679" t="str">
        <f>'driving mode datasheet'!N15</f>
        <v>3xPt100</v>
      </c>
      <c r="O15" s="101"/>
      <c r="P15" s="405"/>
      <c r="Q15" s="405"/>
      <c r="S15" s="406"/>
      <c r="T15" s="406"/>
      <c r="U15" s="101"/>
      <c r="V15" s="101"/>
      <c r="W15" s="101"/>
      <c r="X15" s="101"/>
      <c r="Y15" s="101"/>
      <c r="Z15" s="101"/>
      <c r="AA15" s="101"/>
      <c r="AB15" s="101"/>
      <c r="AC15" s="101"/>
      <c r="AD15" s="102"/>
      <c r="AE15" s="102"/>
      <c r="AF15" s="102"/>
      <c r="AG15" s="102"/>
      <c r="AH15" s="102"/>
      <c r="AI15" s="102"/>
      <c r="AJ15" s="102"/>
      <c r="AK15" s="102"/>
      <c r="AL15" s="163"/>
      <c r="AM15" s="163"/>
      <c r="AN15" s="164"/>
      <c r="AO15" s="163"/>
      <c r="AP15" s="102"/>
      <c r="AQ15" s="102"/>
      <c r="AR15" s="102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</row>
    <row r="16" spans="1:56" s="104" customFormat="1" ht="18" customHeight="1" thickBot="1">
      <c r="A16" s="583" t="s">
        <v>50</v>
      </c>
      <c r="B16" s="584"/>
      <c r="C16" s="584"/>
      <c r="D16" s="585"/>
      <c r="E16" s="133" t="s">
        <v>51</v>
      </c>
      <c r="F16" s="556"/>
      <c r="G16" s="133" t="s">
        <v>52</v>
      </c>
      <c r="I16" s="556"/>
      <c r="J16" s="133" t="s">
        <v>222</v>
      </c>
      <c r="K16" s="556"/>
      <c r="L16" s="403" t="s">
        <v>53</v>
      </c>
      <c r="M16" s="399"/>
      <c r="N16" s="680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2"/>
      <c r="AE16" s="102"/>
      <c r="AF16" s="102"/>
      <c r="AG16" s="102"/>
      <c r="AH16" s="102"/>
      <c r="AI16" s="102"/>
      <c r="AJ16" s="102"/>
      <c r="AK16" s="102"/>
      <c r="AL16" s="163"/>
      <c r="AM16" s="163"/>
      <c r="AN16" s="164"/>
      <c r="AO16" s="163"/>
      <c r="AP16" s="102"/>
      <c r="AQ16" s="102"/>
      <c r="AR16" s="102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</row>
    <row r="17" spans="1:56" s="104" customFormat="1" ht="18" customHeight="1">
      <c r="A17" s="583"/>
      <c r="B17" s="584"/>
      <c r="C17" s="584"/>
      <c r="D17" s="585"/>
      <c r="E17" s="110" t="s">
        <v>54</v>
      </c>
      <c r="F17" s="553" t="str">
        <f>'driving mode datasheet'!F17</f>
        <v>&lt; 40 ºC  &lt; 1000 m</v>
      </c>
      <c r="G17" s="553"/>
      <c r="H17" s="554"/>
      <c r="I17" s="110" t="s">
        <v>56</v>
      </c>
      <c r="J17" s="100"/>
      <c r="K17" s="553" t="str">
        <f>'driving mode datasheet'!K17</f>
        <v>4 kHz ; IVIC  C/B acc. EN60034-25</v>
      </c>
      <c r="L17" s="553"/>
      <c r="M17" s="553"/>
      <c r="N17" s="554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2"/>
      <c r="AE17" s="102"/>
      <c r="AF17" s="102"/>
      <c r="AG17" s="102"/>
      <c r="AH17" s="102"/>
      <c r="AI17" s="102"/>
      <c r="AJ17" s="102"/>
      <c r="AK17" s="102"/>
      <c r="AL17" s="163"/>
      <c r="AM17" s="163"/>
      <c r="AN17" s="164"/>
      <c r="AO17" s="163"/>
      <c r="AP17" s="102"/>
      <c r="AQ17" s="102"/>
      <c r="AR17" s="102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</row>
    <row r="18" spans="1:56" s="104" customFormat="1" ht="18" customHeight="1" thickBot="1">
      <c r="A18" s="586"/>
      <c r="B18" s="587"/>
      <c r="C18" s="587"/>
      <c r="D18" s="588"/>
      <c r="E18" s="133" t="s">
        <v>58</v>
      </c>
      <c r="F18" s="555"/>
      <c r="G18" s="555"/>
      <c r="H18" s="556"/>
      <c r="I18" s="133" t="s">
        <v>59</v>
      </c>
      <c r="J18" s="113"/>
      <c r="K18" s="555"/>
      <c r="L18" s="555"/>
      <c r="M18" s="555"/>
      <c r="N18" s="556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2"/>
      <c r="AE18" s="102"/>
      <c r="AF18" s="102"/>
      <c r="AG18" s="102"/>
      <c r="AH18" s="102"/>
      <c r="AI18" s="102"/>
      <c r="AJ18" s="102"/>
      <c r="AK18" s="102"/>
      <c r="AL18" s="163"/>
      <c r="AM18" s="163"/>
      <c r="AN18" s="164"/>
      <c r="AO18" s="163"/>
      <c r="AP18" s="102"/>
      <c r="AQ18" s="102"/>
      <c r="AR18" s="102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</row>
    <row r="19" spans="1:56" s="104" customFormat="1" ht="18" customHeight="1">
      <c r="A19" s="110" t="s">
        <v>60</v>
      </c>
      <c r="B19" s="100"/>
      <c r="C19" s="553" t="str">
        <f>'driving mode datasheet'!C19</f>
        <v>EN60034</v>
      </c>
      <c r="D19" s="554"/>
      <c r="E19" s="134" t="s">
        <v>62</v>
      </c>
      <c r="F19" s="135"/>
      <c r="G19" s="136"/>
      <c r="H19" s="553" t="str">
        <f>'driving mode datasheet'!H19</f>
        <v>300 Nm</v>
      </c>
      <c r="I19" s="553" t="str">
        <f>'driving mode datasheet'!I19</f>
        <v>24 Vdc</v>
      </c>
      <c r="J19" s="553" t="str">
        <f>'driving mode datasheet'!J19</f>
        <v>2.5 A</v>
      </c>
      <c r="K19" s="553" t="str">
        <f>'driving mode datasheet'!K19</f>
        <v>60 W</v>
      </c>
      <c r="L19" s="553" t="str">
        <f>'driving mode datasheet'!L19</f>
        <v>18 Kg</v>
      </c>
      <c r="M19" s="543" t="str">
        <f>'driving mode datasheet'!M19</f>
        <v>J = 0.0017 Kg m2</v>
      </c>
      <c r="N19" s="547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2"/>
      <c r="AE19" s="102"/>
      <c r="AF19" s="102"/>
      <c r="AG19" s="102"/>
      <c r="AH19" s="102"/>
      <c r="AI19" s="102"/>
      <c r="AJ19" s="102"/>
      <c r="AK19" s="102"/>
      <c r="AL19" s="163"/>
      <c r="AM19" s="163"/>
      <c r="AN19" s="164"/>
      <c r="AO19" s="163"/>
      <c r="AP19" s="102"/>
      <c r="AQ19" s="102"/>
      <c r="AR19" s="102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</row>
    <row r="20" spans="1:56" s="104" customFormat="1" ht="18" customHeight="1" thickBot="1">
      <c r="A20" s="133" t="s">
        <v>64</v>
      </c>
      <c r="B20" s="113"/>
      <c r="C20" s="555"/>
      <c r="D20" s="556"/>
      <c r="E20" s="137" t="s">
        <v>65</v>
      </c>
      <c r="F20" s="135"/>
      <c r="G20" s="136"/>
      <c r="H20" s="555"/>
      <c r="I20" s="555"/>
      <c r="J20" s="555"/>
      <c r="K20" s="555"/>
      <c r="L20" s="555"/>
      <c r="M20" s="544"/>
      <c r="N20" s="548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2"/>
      <c r="AE20" s="102"/>
      <c r="AF20" s="102"/>
      <c r="AG20" s="102"/>
      <c r="AH20" s="102"/>
      <c r="AI20" s="102"/>
      <c r="AJ20" s="102"/>
      <c r="AK20" s="102"/>
      <c r="AL20" s="163"/>
      <c r="AM20" s="163"/>
      <c r="AN20" s="164"/>
      <c r="AO20" s="163"/>
      <c r="AP20" s="102"/>
      <c r="AQ20" s="102"/>
      <c r="AR20" s="102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</row>
    <row r="21" spans="1:56" s="138" customFormat="1" ht="18" customHeight="1">
      <c r="A21" s="549" t="s">
        <v>66</v>
      </c>
      <c r="B21" s="550"/>
      <c r="C21" s="550"/>
      <c r="D21" s="550"/>
      <c r="E21" s="551" t="s">
        <v>67</v>
      </c>
      <c r="F21" s="559">
        <v>400</v>
      </c>
      <c r="G21" s="560"/>
      <c r="H21" s="549" t="s">
        <v>68</v>
      </c>
      <c r="I21" s="550"/>
      <c r="J21" s="550"/>
      <c r="K21" s="550"/>
      <c r="L21" s="551" t="s">
        <v>69</v>
      </c>
      <c r="M21" s="559">
        <v>400</v>
      </c>
      <c r="N21" s="560"/>
      <c r="O21" s="404"/>
      <c r="P21" s="404"/>
      <c r="Q21" s="404"/>
      <c r="R21" s="404"/>
      <c r="S21" s="404"/>
      <c r="T21" s="404"/>
      <c r="U21" s="404"/>
      <c r="V21" s="404"/>
      <c r="W21" s="404"/>
      <c r="X21" s="404"/>
      <c r="Y21" s="404"/>
      <c r="Z21" s="404"/>
      <c r="AA21" s="404"/>
      <c r="AB21" s="404"/>
      <c r="AC21" s="404"/>
      <c r="AD21" s="73"/>
      <c r="AE21" s="73"/>
      <c r="AF21" s="73"/>
      <c r="AG21" s="73"/>
      <c r="AH21" s="73"/>
      <c r="AI21" s="73"/>
      <c r="AJ21" s="73"/>
      <c r="AK21" s="73"/>
      <c r="AL21" s="292"/>
      <c r="AM21" s="292"/>
      <c r="AN21" s="292"/>
      <c r="AO21" s="293"/>
      <c r="AP21" s="292"/>
      <c r="AQ21" s="73"/>
      <c r="AR21" s="73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</row>
    <row r="22" spans="1:56" s="138" customFormat="1" ht="18" customHeight="1" thickBot="1">
      <c r="A22" s="563" t="s">
        <v>70</v>
      </c>
      <c r="B22" s="564"/>
      <c r="C22" s="564"/>
      <c r="D22" s="564"/>
      <c r="E22" s="552"/>
      <c r="F22" s="561"/>
      <c r="G22" s="562"/>
      <c r="H22" s="563" t="s">
        <v>71</v>
      </c>
      <c r="I22" s="564"/>
      <c r="J22" s="564"/>
      <c r="K22" s="564"/>
      <c r="L22" s="552"/>
      <c r="M22" s="561"/>
      <c r="N22" s="562"/>
      <c r="O22" s="404"/>
      <c r="P22" s="404"/>
      <c r="Q22" s="404"/>
      <c r="R22" s="404"/>
      <c r="S22" s="404"/>
      <c r="T22" s="404"/>
      <c r="U22" s="404"/>
      <c r="V22" s="404"/>
      <c r="W22" s="404"/>
      <c r="X22" s="404"/>
      <c r="Y22" s="404"/>
      <c r="Z22" s="404"/>
      <c r="AA22" s="404"/>
      <c r="AB22" s="404"/>
      <c r="AC22" s="404"/>
      <c r="AD22" s="73"/>
      <c r="AE22" s="73"/>
      <c r="AF22" s="73"/>
      <c r="AG22" s="73"/>
      <c r="AH22" s="73"/>
      <c r="AI22" s="73"/>
      <c r="AJ22" s="73"/>
      <c r="AK22" s="73"/>
      <c r="AL22" s="292"/>
      <c r="AM22" s="292"/>
      <c r="AN22" s="292"/>
      <c r="AO22" s="293"/>
      <c r="AP22" s="292"/>
      <c r="AQ22" s="73"/>
      <c r="AR22" s="73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</row>
    <row r="23" spans="1:56" s="138" customFormat="1" ht="18" customHeight="1" thickBot="1">
      <c r="B23" s="116"/>
      <c r="C23" s="116"/>
      <c r="D23" s="116"/>
      <c r="E23" s="116"/>
      <c r="F23" s="139" t="str">
        <f>IF(F21&gt;500," Vb   ha de ser / must be  &lt; 500 V"," ")</f>
        <v xml:space="preserve"> </v>
      </c>
      <c r="G23" s="140" t="str">
        <f>IF(M21&gt;500,"  Vc   ha de ser / must be   &lt; 500 V"," ")</f>
        <v xml:space="preserve"> </v>
      </c>
      <c r="H23" s="141"/>
      <c r="I23" s="142"/>
      <c r="J23" s="143"/>
      <c r="K23" s="142"/>
      <c r="L23" s="142"/>
      <c r="M23" s="141"/>
      <c r="N23" s="139" t="str">
        <f>IF(M21&lt;F21,"Vc   ha de ser / must be   &gt; Vb"," ")</f>
        <v xml:space="preserve"> </v>
      </c>
      <c r="O23" s="404"/>
      <c r="P23" s="404"/>
      <c r="Q23" s="404"/>
      <c r="R23" s="404"/>
      <c r="S23" s="404"/>
      <c r="T23" s="404"/>
      <c r="U23" s="404"/>
      <c r="V23" s="404"/>
      <c r="W23" s="404"/>
      <c r="X23" s="404"/>
      <c r="Y23" s="404"/>
      <c r="Z23" s="404"/>
      <c r="AA23" s="404"/>
      <c r="AB23" s="404"/>
      <c r="AC23" s="404"/>
      <c r="AD23" s="73"/>
      <c r="AE23" s="73"/>
      <c r="AF23" s="73"/>
      <c r="AG23" s="73"/>
      <c r="AH23" s="73"/>
      <c r="AI23" s="73"/>
      <c r="AJ23" s="73"/>
      <c r="AK23" s="73"/>
      <c r="AL23" s="292"/>
      <c r="AM23" s="292"/>
      <c r="AN23" s="293"/>
      <c r="AO23" s="292"/>
      <c r="AP23" s="73"/>
      <c r="AQ23" s="73"/>
      <c r="AR23" s="73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</row>
    <row r="24" spans="1:56" s="138" customFormat="1" ht="18" customHeight="1">
      <c r="B24" s="622" t="s">
        <v>72</v>
      </c>
      <c r="C24" s="623"/>
      <c r="D24" s="623"/>
      <c r="E24" s="623"/>
      <c r="F24" s="579" t="s">
        <v>73</v>
      </c>
      <c r="G24" s="144"/>
      <c r="H24" s="626" t="s">
        <v>74</v>
      </c>
      <c r="I24" s="627"/>
      <c r="J24" s="627"/>
      <c r="K24" s="627"/>
      <c r="L24" s="630">
        <v>0.4</v>
      </c>
      <c r="M24" s="145" t="str">
        <f>IF(L24&gt;80%,"max 80%","")</f>
        <v/>
      </c>
      <c r="N24" s="146"/>
      <c r="O24" s="404"/>
      <c r="P24" s="404"/>
      <c r="Q24" s="404"/>
      <c r="R24" s="404"/>
      <c r="S24" s="404"/>
      <c r="T24" s="404"/>
      <c r="U24" s="404"/>
      <c r="V24" s="404"/>
      <c r="W24" s="404"/>
      <c r="X24" s="404"/>
      <c r="Y24" s="404"/>
      <c r="Z24" s="404"/>
      <c r="AA24" s="404"/>
      <c r="AB24" s="404"/>
      <c r="AC24" s="404"/>
      <c r="AD24" s="73"/>
      <c r="AE24" s="73"/>
      <c r="AF24" s="73"/>
      <c r="AG24" s="73"/>
      <c r="AH24" s="73"/>
      <c r="AI24" s="73"/>
      <c r="AJ24" s="73"/>
      <c r="AK24" s="73"/>
      <c r="AL24" s="292"/>
      <c r="AM24" s="292"/>
      <c r="AN24" s="293"/>
      <c r="AO24" s="292"/>
      <c r="AP24" s="73"/>
      <c r="AQ24" s="73"/>
      <c r="AR24" s="73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</row>
    <row r="25" spans="1:56" s="138" customFormat="1" ht="18" customHeight="1" thickBot="1">
      <c r="A25" s="107"/>
      <c r="B25" s="624"/>
      <c r="C25" s="625"/>
      <c r="D25" s="625"/>
      <c r="E25" s="625"/>
      <c r="F25" s="580"/>
      <c r="G25" s="147"/>
      <c r="H25" s="628"/>
      <c r="I25" s="629"/>
      <c r="J25" s="629"/>
      <c r="K25" s="629"/>
      <c r="L25" s="631"/>
      <c r="M25" s="148" t="str">
        <f>IF(L24&lt;20%,"min 20%","")</f>
        <v/>
      </c>
      <c r="N25" s="85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292"/>
      <c r="AM25" s="293"/>
      <c r="AN25" s="292"/>
      <c r="AO25" s="73"/>
      <c r="AP25" s="73"/>
      <c r="AQ25" s="73"/>
      <c r="AR25" s="73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</row>
    <row r="26" spans="1:56" s="155" customFormat="1" ht="101.25" customHeight="1" thickBot="1">
      <c r="A26" s="149" t="s">
        <v>75</v>
      </c>
      <c r="B26" s="150" t="s">
        <v>76</v>
      </c>
      <c r="C26" s="151" t="s">
        <v>77</v>
      </c>
      <c r="D26" s="150" t="s">
        <v>78</v>
      </c>
      <c r="E26" s="152" t="s">
        <v>79</v>
      </c>
      <c r="F26" s="153" t="s">
        <v>80</v>
      </c>
      <c r="G26" s="151" t="s">
        <v>81</v>
      </c>
      <c r="H26" s="153" t="s">
        <v>76</v>
      </c>
      <c r="I26" s="151" t="s">
        <v>82</v>
      </c>
      <c r="J26" s="150" t="s">
        <v>78</v>
      </c>
      <c r="K26" s="152" t="s">
        <v>79</v>
      </c>
      <c r="L26" s="153" t="s">
        <v>80</v>
      </c>
      <c r="M26" s="151" t="s">
        <v>81</v>
      </c>
      <c r="N26" s="154" t="s">
        <v>83</v>
      </c>
      <c r="O26" s="492" t="s">
        <v>84</v>
      </c>
      <c r="P26" s="492" t="s">
        <v>85</v>
      </c>
      <c r="Q26" s="493" t="s">
        <v>80</v>
      </c>
      <c r="R26" s="494" t="s">
        <v>79</v>
      </c>
      <c r="S26" s="492" t="s">
        <v>86</v>
      </c>
      <c r="T26" s="395"/>
      <c r="U26" s="492" t="s">
        <v>87</v>
      </c>
      <c r="V26" s="492" t="s">
        <v>88</v>
      </c>
      <c r="W26" s="492" t="s">
        <v>89</v>
      </c>
      <c r="X26" s="492" t="s">
        <v>90</v>
      </c>
      <c r="Y26" s="492" t="s">
        <v>91</v>
      </c>
      <c r="Z26" s="492" t="s">
        <v>92</v>
      </c>
      <c r="AA26" s="492" t="s">
        <v>93</v>
      </c>
      <c r="AB26" s="492" t="s">
        <v>94</v>
      </c>
      <c r="AC26" s="492" t="s">
        <v>95</v>
      </c>
      <c r="AD26" s="73" t="s">
        <v>232</v>
      </c>
      <c r="AE26" s="395"/>
      <c r="AF26" s="395"/>
      <c r="AG26" s="395"/>
      <c r="AH26" s="395"/>
      <c r="AI26" s="395"/>
      <c r="AJ26" s="395"/>
      <c r="AK26" s="395"/>
      <c r="AL26" s="396"/>
      <c r="AM26" s="397"/>
      <c r="AN26" s="396"/>
      <c r="AO26" s="395"/>
      <c r="AP26" s="395"/>
      <c r="AQ26" s="395"/>
      <c r="AR26" s="395"/>
      <c r="AS26" s="156"/>
      <c r="AT26" s="156"/>
      <c r="AU26" s="156"/>
      <c r="AV26" s="156"/>
      <c r="AW26" s="156"/>
      <c r="AX26" s="156"/>
      <c r="AY26" s="156"/>
      <c r="AZ26" s="156"/>
      <c r="BA26" s="156"/>
      <c r="BB26" s="156"/>
      <c r="BC26" s="156"/>
      <c r="BD26" s="156"/>
    </row>
    <row r="27" spans="1:56" s="138" customFormat="1" ht="18" customHeight="1">
      <c r="A27" s="520" t="str">
        <f>'driving mode datasheet'!$A27</f>
        <v>A61</v>
      </c>
      <c r="B27" s="288">
        <f>'driving mode datasheet'!B27</f>
        <v>705</v>
      </c>
      <c r="C27" s="437">
        <f>'driving mode datasheet'!C27</f>
        <v>82.933161945902029</v>
      </c>
      <c r="D27" s="435">
        <f t="shared" ref="D27:D40" si="0">E27*$B27*PI()/30000</f>
        <v>44.296456415616085</v>
      </c>
      <c r="E27" s="289">
        <f>(F27*120/$F$9-$S27)</f>
        <v>600</v>
      </c>
      <c r="F27" s="290">
        <f>$Q27*$F$21/'driving mode datasheet'!$F$21</f>
        <v>29</v>
      </c>
      <c r="G27" s="160">
        <f t="shared" ref="G27:G33" si="1">IF(AC27&lt;$L$13,AC27,$L$13)</f>
        <v>2188.8171969318396</v>
      </c>
      <c r="H27" s="158">
        <f t="shared" ref="H27:H40" si="2">IF(U27&lt;X27*0.95,U27,X27*0.95)</f>
        <v>1028.6415033447408</v>
      </c>
      <c r="I27" s="436">
        <f>MIN(V27:W27)</f>
        <v>110.03693354239947</v>
      </c>
      <c r="J27" s="438">
        <f t="shared" ref="J27:J40" si="3">MIN(Z27,H27*E27*PI()/30000)</f>
        <v>64.631451801707968</v>
      </c>
      <c r="K27" s="161">
        <f>MIN(E27,M27)</f>
        <v>600</v>
      </c>
      <c r="L27" s="162">
        <f t="shared" ref="L27:L40" si="4">(K27+S27*H27/B27)*$F$9/120</f>
        <v>28.540934037808878</v>
      </c>
      <c r="M27" s="291">
        <f>MIN($L$13,MAX(AB27,AA27))</f>
        <v>1431.7119259640933</v>
      </c>
      <c r="N27" s="441">
        <f>RESUM!B32</f>
        <v>47.379104359497909</v>
      </c>
      <c r="O27" s="495">
        <f>'driving mode parameters'!B81</f>
        <v>0.93014097328165513</v>
      </c>
      <c r="P27" s="495">
        <f>'driving mode parameters'!B82</f>
        <v>0.71708216099146804</v>
      </c>
      <c r="Q27" s="496">
        <f>'driving mode parameters'!B75</f>
        <v>29</v>
      </c>
      <c r="R27" s="496">
        <f>'driving mode parameters'!B76</f>
        <v>600</v>
      </c>
      <c r="S27" s="496">
        <f>Q27*120/$F$9-R27</f>
        <v>-20</v>
      </c>
      <c r="T27" s="102"/>
      <c r="U27" s="497">
        <f t="shared" ref="U27:U40" si="5">B27/((C27^2-N27^2)^0.5)*(V27^2-N27^2)^0.5</f>
        <v>1028.6415033447408</v>
      </c>
      <c r="V27" s="497">
        <f t="shared" ref="V27:V40" si="6">IF(AND($L$24&gt;=20%,$L$24&lt;=80%)=TRUE,((C27^2*0.9-N27^2*(1-$L$24))/$L$24)^0.5,0)</f>
        <v>110.03693354239947</v>
      </c>
      <c r="W27" s="497">
        <f>(((V27^2-N27^2)^0.5*X27/U27)^2+N27^2)^0.5</f>
        <v>309.45450067699318</v>
      </c>
      <c r="X27" s="497">
        <f>X28</f>
        <v>3167.3633106771249</v>
      </c>
      <c r="Y27" s="497">
        <f>'driving mode datasheet'!Y27*$M$21/'driving mode datasheet'!$M$21*E27/'driving mode datasheet'!E27</f>
        <v>510.58892315266712</v>
      </c>
      <c r="Z27" s="497">
        <f t="shared" ref="Z27:Z40" si="7">X27*Y27*PI()/30000</f>
        <v>169.35494751364439</v>
      </c>
      <c r="AA27" s="497">
        <f>AC27*(D27/J27)^(1/AD27)</f>
        <v>1431.7119259640933</v>
      </c>
      <c r="AB27" s="497">
        <f t="shared" ref="AB27:AB33" si="8">AC27*(B27*E27/AC27/H27)^(1/(1+AD27))</f>
        <v>903.67454442773032</v>
      </c>
      <c r="AC27" s="498">
        <f>0.95*Y27*(Z27/D27)^(1/AD27)</f>
        <v>2188.8171969318396</v>
      </c>
      <c r="AD27" s="73">
        <f>'limit 480V'!Z25</f>
        <v>0.89</v>
      </c>
      <c r="AE27" s="73"/>
      <c r="AF27" s="73"/>
      <c r="AG27" s="73"/>
      <c r="AH27" s="73"/>
      <c r="AI27" s="73"/>
      <c r="AJ27" s="73"/>
      <c r="AK27" s="73"/>
      <c r="AL27" s="292"/>
      <c r="AM27" s="292"/>
      <c r="AN27" s="292"/>
      <c r="AO27" s="293"/>
      <c r="AP27" s="292"/>
      <c r="AQ27" s="73"/>
      <c r="AR27" s="73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</row>
    <row r="28" spans="1:56" s="138" customFormat="1" ht="18" customHeight="1">
      <c r="A28" s="520" t="str">
        <f>'driving mode datasheet'!$A28</f>
        <v>B61</v>
      </c>
      <c r="B28" s="288">
        <f>'driving mode datasheet'!B28</f>
        <v>705</v>
      </c>
      <c r="C28" s="437">
        <f>'driving mode datasheet'!C28</f>
        <v>99.215176532137278</v>
      </c>
      <c r="D28" s="435">
        <f t="shared" si="0"/>
        <v>53.155747698739304</v>
      </c>
      <c r="E28" s="289">
        <f t="shared" ref="E28:E40" si="9">(F28*120/$F$9-$S28)</f>
        <v>720</v>
      </c>
      <c r="F28" s="290">
        <f>$Q28*$F$21/'driving mode datasheet'!$F$21</f>
        <v>35</v>
      </c>
      <c r="G28" s="160">
        <f t="shared" si="1"/>
        <v>2590.4932838388136</v>
      </c>
      <c r="H28" s="158">
        <f t="shared" si="2"/>
        <v>1030.1526669240857</v>
      </c>
      <c r="I28" s="436">
        <f t="shared" ref="I28:I40" si="10">MIN(V28:W28)</f>
        <v>132.28668625410214</v>
      </c>
      <c r="J28" s="434">
        <f t="shared" si="3"/>
        <v>77.671681211631366</v>
      </c>
      <c r="K28" s="158">
        <f t="shared" ref="K28:K36" si="11">IF(E28&lt;M28,E28,M28)</f>
        <v>720</v>
      </c>
      <c r="L28" s="159">
        <f t="shared" si="4"/>
        <v>34.538790543370091</v>
      </c>
      <c r="M28" s="160">
        <f t="shared" ref="M28:M40" si="12">MIN($L$13,MAX(AB28,AA28))</f>
        <v>1691.6568626911319</v>
      </c>
      <c r="N28" s="441">
        <f>RESUM!C32</f>
        <v>55.668351044921167</v>
      </c>
      <c r="O28" s="495">
        <f>'driving mode parameters'!C81</f>
        <v>0.93985343881005945</v>
      </c>
      <c r="P28" s="495">
        <f>'driving mode parameters'!C82</f>
        <v>0.72679450989672068</v>
      </c>
      <c r="Q28" s="496">
        <f>'driving mode parameters'!C75</f>
        <v>35</v>
      </c>
      <c r="R28" s="496">
        <f>'driving mode parameters'!C76</f>
        <v>720</v>
      </c>
      <c r="S28" s="496">
        <f t="shared" ref="S28:S40" si="13">Q28*120/$F$9-R28</f>
        <v>-20</v>
      </c>
      <c r="T28" s="102"/>
      <c r="U28" s="497">
        <f t="shared" si="5"/>
        <v>1030.1526669240857</v>
      </c>
      <c r="V28" s="497">
        <f t="shared" si="6"/>
        <v>132.28668625410214</v>
      </c>
      <c r="W28" s="497">
        <f t="shared" ref="W28:W40" si="14">(((V28^2-N28^2)^0.5*X28/U28)^2+N28^2)^0.5</f>
        <v>373.14465376136121</v>
      </c>
      <c r="X28" s="497">
        <f>X29</f>
        <v>3167.3633106771249</v>
      </c>
      <c r="Y28" s="497">
        <f>'driving mode datasheet'!Y28*$M$21/'driving mode datasheet'!$M$21*E28/'driving mode datasheet'!E28</f>
        <v>608.7280927975952</v>
      </c>
      <c r="Z28" s="497">
        <f t="shared" si="7"/>
        <v>201.90628807470847</v>
      </c>
      <c r="AA28" s="497">
        <f t="shared" ref="AA28:AA40" si="15">AC28*(D28/J28)^(1/AD28)</f>
        <v>1691.6568626911319</v>
      </c>
      <c r="AB28" s="497">
        <f t="shared" si="8"/>
        <v>1076.5313407581689</v>
      </c>
      <c r="AC28" s="498">
        <f t="shared" ref="AC28:AC40" si="16">0.95*Y28*(Z28/D28)^(1/AD28)</f>
        <v>2590.4932838388136</v>
      </c>
      <c r="AD28" s="73">
        <f>AD27</f>
        <v>0.89</v>
      </c>
      <c r="AE28" s="73"/>
      <c r="AF28" s="73"/>
      <c r="AG28" s="73"/>
      <c r="AH28" s="73"/>
      <c r="AI28" s="73"/>
      <c r="AJ28" s="73"/>
      <c r="AK28" s="73"/>
      <c r="AL28" s="292"/>
      <c r="AM28" s="292"/>
      <c r="AN28" s="292"/>
      <c r="AO28" s="293"/>
      <c r="AP28" s="292"/>
      <c r="AQ28" s="73"/>
      <c r="AR28" s="73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</row>
    <row r="29" spans="1:56" s="138" customFormat="1" ht="18" customHeight="1">
      <c r="A29" s="520" t="str">
        <f>'driving mode datasheet'!$A29</f>
        <v>C61</v>
      </c>
      <c r="B29" s="288">
        <f>'driving mode datasheet'!B29</f>
        <v>705</v>
      </c>
      <c r="C29" s="437">
        <f>'driving mode datasheet'!C29</f>
        <v>114.22319796676634</v>
      </c>
      <c r="D29" s="435">
        <f t="shared" si="0"/>
        <v>63.491587529049724</v>
      </c>
      <c r="E29" s="289">
        <f t="shared" si="9"/>
        <v>860</v>
      </c>
      <c r="F29" s="290">
        <f>$Q29*$F$21/'driving mode datasheet'!$F$21</f>
        <v>42</v>
      </c>
      <c r="G29" s="160">
        <f t="shared" si="1"/>
        <v>3064.5436168017509</v>
      </c>
      <c r="H29" s="158">
        <f t="shared" si="2"/>
        <v>1032.9767668686852</v>
      </c>
      <c r="I29" s="436">
        <f t="shared" si="10"/>
        <v>153.7517710276617</v>
      </c>
      <c r="J29" s="434">
        <f t="shared" si="3"/>
        <v>93.028843700876479</v>
      </c>
      <c r="K29" s="158">
        <f t="shared" si="11"/>
        <v>860</v>
      </c>
      <c r="L29" s="159">
        <f t="shared" si="4"/>
        <v>41.534784727845832</v>
      </c>
      <c r="M29" s="160">
        <f t="shared" si="12"/>
        <v>1995.0771667379729</v>
      </c>
      <c r="N29" s="441">
        <f>RESUM!D32</f>
        <v>61.730627470251463</v>
      </c>
      <c r="O29" s="495">
        <f>'driving mode parameters'!D81</f>
        <v>0.94776635538616827</v>
      </c>
      <c r="P29" s="495">
        <f>'driving mode parameters'!D82</f>
        <v>0.76040075610659819</v>
      </c>
      <c r="Q29" s="496">
        <f>'driving mode parameters'!D75</f>
        <v>42</v>
      </c>
      <c r="R29" s="496">
        <f>'driving mode parameters'!D76</f>
        <v>860</v>
      </c>
      <c r="S29" s="496">
        <f t="shared" si="13"/>
        <v>-20</v>
      </c>
      <c r="T29" s="102"/>
      <c r="U29" s="497">
        <f t="shared" si="5"/>
        <v>1032.9767668686852</v>
      </c>
      <c r="V29" s="497">
        <f t="shared" si="6"/>
        <v>153.7517710276617</v>
      </c>
      <c r="W29" s="497">
        <f t="shared" si="14"/>
        <v>436.1650301056012</v>
      </c>
      <c r="X29" s="497">
        <f>X30</f>
        <v>3167.3633106771249</v>
      </c>
      <c r="Y29" s="497">
        <f>'driving mode datasheet'!Y29*$M$21/'driving mode datasheet'!$M$21*E29/'driving mode datasheet'!E29</f>
        <v>723.80188007356105</v>
      </c>
      <c r="Z29" s="497">
        <f t="shared" si="7"/>
        <v>240.07459592593545</v>
      </c>
      <c r="AA29" s="497">
        <f t="shared" si="15"/>
        <v>1995.0771667379729</v>
      </c>
      <c r="AB29" s="497">
        <f t="shared" si="8"/>
        <v>1278.1857135931832</v>
      </c>
      <c r="AC29" s="498">
        <f t="shared" si="16"/>
        <v>3064.5436168017509</v>
      </c>
      <c r="AD29" s="73">
        <f t="shared" ref="AD29:AD40" si="17">AD28</f>
        <v>0.89</v>
      </c>
      <c r="AE29" s="73"/>
      <c r="AF29" s="73"/>
      <c r="AG29" s="73"/>
      <c r="AH29" s="73"/>
      <c r="AI29" s="73"/>
      <c r="AJ29" s="73"/>
      <c r="AK29" s="73"/>
      <c r="AL29" s="292"/>
      <c r="AM29" s="292"/>
      <c r="AN29" s="292"/>
      <c r="AO29" s="293"/>
      <c r="AP29" s="292"/>
      <c r="AQ29" s="73"/>
      <c r="AR29" s="73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</row>
    <row r="30" spans="1:56" s="138" customFormat="1" ht="18" customHeight="1">
      <c r="A30" s="520" t="str">
        <f>'driving mode datasheet'!$A30</f>
        <v>D61</v>
      </c>
      <c r="B30" s="288">
        <f>'driving mode datasheet'!B30</f>
        <v>705</v>
      </c>
      <c r="C30" s="437">
        <f>'driving mode datasheet'!C30</f>
        <v>134.94616792452854</v>
      </c>
      <c r="D30" s="435">
        <f t="shared" si="0"/>
        <v>73.827427359360129</v>
      </c>
      <c r="E30" s="289">
        <f t="shared" si="9"/>
        <v>1000</v>
      </c>
      <c r="F30" s="290">
        <f>$Q30*$F$21/'driving mode datasheet'!$F$21</f>
        <v>49</v>
      </c>
      <c r="G30" s="160">
        <f t="shared" si="1"/>
        <v>3534.6958074514396</v>
      </c>
      <c r="H30" s="158">
        <f t="shared" si="2"/>
        <v>1031.6689585542772</v>
      </c>
      <c r="I30" s="436">
        <f t="shared" si="10"/>
        <v>180.83798140312797</v>
      </c>
      <c r="J30" s="434">
        <f t="shared" si="3"/>
        <v>108.03612070435834</v>
      </c>
      <c r="K30" s="158">
        <f t="shared" si="11"/>
        <v>1000</v>
      </c>
      <c r="L30" s="159">
        <f t="shared" si="4"/>
        <v>48.536639775100312</v>
      </c>
      <c r="M30" s="160">
        <f t="shared" si="12"/>
        <v>2304.4332208595115</v>
      </c>
      <c r="N30" s="441">
        <f>RESUM!E32</f>
        <v>74.257111966692307</v>
      </c>
      <c r="O30" s="495">
        <f>'driving mode parameters'!E81</f>
        <v>0.95319558963947471</v>
      </c>
      <c r="P30" s="495">
        <f>'driving mode parameters'!E82</f>
        <v>0.7526942253183847</v>
      </c>
      <c r="Q30" s="496">
        <f>'driving mode parameters'!E75</f>
        <v>49</v>
      </c>
      <c r="R30" s="496">
        <f>'driving mode parameters'!E76</f>
        <v>1000</v>
      </c>
      <c r="S30" s="496">
        <f t="shared" si="13"/>
        <v>-20</v>
      </c>
      <c r="T30" s="102"/>
      <c r="U30" s="497">
        <f t="shared" si="5"/>
        <v>1031.6689585542772</v>
      </c>
      <c r="V30" s="497">
        <f t="shared" si="6"/>
        <v>180.83798140312797</v>
      </c>
      <c r="W30" s="497">
        <f t="shared" si="14"/>
        <v>511.64764363325702</v>
      </c>
      <c r="X30" s="497">
        <f>X31</f>
        <v>3167.3633106771249</v>
      </c>
      <c r="Y30" s="497">
        <f>'driving mode datasheet'!Y30*$M$21/'driving mode datasheet'!$M$21*E30/'driving mode datasheet'!E30</f>
        <v>838.42823949370404</v>
      </c>
      <c r="Z30" s="497">
        <f t="shared" si="7"/>
        <v>278.09449844049527</v>
      </c>
      <c r="AA30" s="497">
        <f t="shared" si="15"/>
        <v>2304.4332208595115</v>
      </c>
      <c r="AB30" s="497">
        <f t="shared" si="8"/>
        <v>1481.6009771592117</v>
      </c>
      <c r="AC30" s="498">
        <f t="shared" si="16"/>
        <v>3534.6958074514396</v>
      </c>
      <c r="AD30" s="73">
        <f t="shared" si="17"/>
        <v>0.89</v>
      </c>
      <c r="AE30" s="73"/>
      <c r="AF30" s="73"/>
      <c r="AG30" s="73"/>
      <c r="AH30" s="73"/>
      <c r="AI30" s="73"/>
      <c r="AJ30" s="73"/>
      <c r="AK30" s="73"/>
      <c r="AL30" s="292"/>
      <c r="AM30" s="292"/>
      <c r="AN30" s="292"/>
      <c r="AO30" s="293"/>
      <c r="AP30" s="292"/>
      <c r="AQ30" s="73"/>
      <c r="AR30" s="73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</row>
    <row r="31" spans="1:56" s="138" customFormat="1" ht="18" customHeight="1">
      <c r="A31" s="520" t="str">
        <f>'driving mode datasheet'!$A31</f>
        <v>E61</v>
      </c>
      <c r="B31" s="288">
        <f>'driving mode datasheet'!B31</f>
        <v>705</v>
      </c>
      <c r="C31" s="437">
        <f>'driving mode datasheet'!C31</f>
        <v>164.80704828666907</v>
      </c>
      <c r="D31" s="435">
        <f t="shared" si="0"/>
        <v>90.069461378419362</v>
      </c>
      <c r="E31" s="289">
        <f t="shared" si="9"/>
        <v>1220</v>
      </c>
      <c r="F31" s="290">
        <f>$Q31*$F$21/'driving mode datasheet'!$F$21</f>
        <v>60</v>
      </c>
      <c r="G31" s="160">
        <f t="shared" si="1"/>
        <v>4000</v>
      </c>
      <c r="H31" s="158">
        <f t="shared" si="2"/>
        <v>1032.8652841956548</v>
      </c>
      <c r="I31" s="436">
        <f t="shared" si="10"/>
        <v>221.7556854881496</v>
      </c>
      <c r="J31" s="434">
        <f t="shared" si="3"/>
        <v>131.95690755173146</v>
      </c>
      <c r="K31" s="158">
        <f t="shared" si="11"/>
        <v>1220</v>
      </c>
      <c r="L31" s="159">
        <f t="shared" si="4"/>
        <v>59.53494285929694</v>
      </c>
      <c r="M31" s="160">
        <f t="shared" si="12"/>
        <v>2783.324261030707</v>
      </c>
      <c r="N31" s="441">
        <f>RESUM!F32</f>
        <v>89.209428032583105</v>
      </c>
      <c r="O31" s="495">
        <f>'driving mode parameters'!F81</f>
        <v>0.95867000673924951</v>
      </c>
      <c r="P31" s="495">
        <f>'driving mode parameters'!F82</f>
        <v>0.75622373808447851</v>
      </c>
      <c r="Q31" s="496">
        <f>'driving mode parameters'!F75</f>
        <v>60</v>
      </c>
      <c r="R31" s="496">
        <f>'driving mode parameters'!F76</f>
        <v>1220</v>
      </c>
      <c r="S31" s="496">
        <f t="shared" si="13"/>
        <v>-20</v>
      </c>
      <c r="T31" s="102"/>
      <c r="U31" s="497">
        <f t="shared" si="5"/>
        <v>1032.8652841956548</v>
      </c>
      <c r="V31" s="497">
        <f t="shared" si="6"/>
        <v>221.7556854881496</v>
      </c>
      <c r="W31" s="497">
        <f t="shared" si="14"/>
        <v>628.93695176974268</v>
      </c>
      <c r="X31" s="497">
        <f>X32</f>
        <v>3167.3633106771249</v>
      </c>
      <c r="Y31" s="497">
        <f>'driving mode datasheet'!Y31*$M$21/'driving mode datasheet'!$M$21*E31/'driving mode datasheet'!E31</f>
        <v>1018.6824869064677</v>
      </c>
      <c r="Z31" s="497">
        <f t="shared" si="7"/>
        <v>337.88222047177095</v>
      </c>
      <c r="AA31" s="497">
        <f t="shared" si="15"/>
        <v>2783.324261030707</v>
      </c>
      <c r="AB31" s="497">
        <f t="shared" si="8"/>
        <v>1799.0278757300832</v>
      </c>
      <c r="AC31" s="498">
        <f t="shared" si="16"/>
        <v>4274.8142393387716</v>
      </c>
      <c r="AD31" s="73">
        <f t="shared" si="17"/>
        <v>0.89</v>
      </c>
      <c r="AE31" s="73"/>
      <c r="AF31" s="73"/>
      <c r="AG31" s="73"/>
      <c r="AH31" s="73"/>
      <c r="AI31" s="73"/>
      <c r="AJ31" s="73"/>
      <c r="AK31" s="73"/>
      <c r="AL31" s="292"/>
      <c r="AM31" s="292"/>
      <c r="AN31" s="292"/>
      <c r="AO31" s="293"/>
      <c r="AP31" s="292"/>
      <c r="AQ31" s="73"/>
      <c r="AR31" s="73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</row>
    <row r="32" spans="1:56" s="138" customFormat="1" ht="18" customHeight="1">
      <c r="A32" s="520" t="str">
        <f>'driving mode datasheet'!$A32</f>
        <v>F61</v>
      </c>
      <c r="B32" s="288">
        <f>'driving mode datasheet'!B32</f>
        <v>705</v>
      </c>
      <c r="C32" s="437">
        <f>'driving mode datasheet'!C32</f>
        <v>185.40753107296055</v>
      </c>
      <c r="D32" s="435">
        <f t="shared" si="0"/>
        <v>100.4053012087298</v>
      </c>
      <c r="E32" s="289">
        <f t="shared" si="9"/>
        <v>1360</v>
      </c>
      <c r="F32" s="290">
        <f>$Q32*$F$21/'driving mode datasheet'!$F$21</f>
        <v>67</v>
      </c>
      <c r="G32" s="160">
        <f t="shared" si="1"/>
        <v>4000</v>
      </c>
      <c r="H32" s="158">
        <f t="shared" si="2"/>
        <v>1032.0987366321488</v>
      </c>
      <c r="I32" s="436">
        <f t="shared" si="10"/>
        <v>248.82157786059599</v>
      </c>
      <c r="J32" s="434">
        <f t="shared" si="3"/>
        <v>146.99033266482323</v>
      </c>
      <c r="K32" s="158">
        <f>IF($E$32&lt;$M$32,$E$32,$M$32)</f>
        <v>1360</v>
      </c>
      <c r="L32" s="159">
        <f t="shared" si="4"/>
        <v>66.536030160805467</v>
      </c>
      <c r="M32" s="160">
        <f t="shared" si="12"/>
        <v>3092.8890416458776</v>
      </c>
      <c r="N32" s="441">
        <f>RESUM!G32</f>
        <v>101.43541686790246</v>
      </c>
      <c r="O32" s="495">
        <f>'driving mode parameters'!G81</f>
        <v>0.96105421795766022</v>
      </c>
      <c r="P32" s="495">
        <f>'driving mode parameters'!G82</f>
        <v>0.75120166696107227</v>
      </c>
      <c r="Q32" s="496">
        <f>'driving mode parameters'!G75</f>
        <v>67</v>
      </c>
      <c r="R32" s="496">
        <f>'driving mode parameters'!G76</f>
        <v>1360</v>
      </c>
      <c r="S32" s="496">
        <f t="shared" si="13"/>
        <v>-20</v>
      </c>
      <c r="T32" s="102"/>
      <c r="U32" s="497">
        <f t="shared" si="5"/>
        <v>1032.0987366321488</v>
      </c>
      <c r="V32" s="497">
        <f t="shared" si="6"/>
        <v>248.82157786059599</v>
      </c>
      <c r="W32" s="497">
        <f t="shared" si="14"/>
        <v>704.60543122776073</v>
      </c>
      <c r="X32" s="497">
        <f>'limit 480V'!K27*0.95</f>
        <v>3167.3633106771249</v>
      </c>
      <c r="Y32" s="497">
        <f>'driving mode datasheet'!Y32*$M$21/'driving mode datasheet'!$M$21*E32/'driving mode datasheet'!E32</f>
        <v>1133.4390269538558</v>
      </c>
      <c r="Z32" s="497">
        <f t="shared" si="7"/>
        <v>375.94530201410566</v>
      </c>
      <c r="AA32" s="497">
        <f t="shared" si="15"/>
        <v>3092.8890416458776</v>
      </c>
      <c r="AB32" s="497">
        <f t="shared" si="8"/>
        <v>2002.478284928276</v>
      </c>
      <c r="AC32" s="498">
        <f>0.95*Y32*(Z32/D32)^(1/AD32)</f>
        <v>4746.3034017144155</v>
      </c>
      <c r="AD32" s="73">
        <f t="shared" si="17"/>
        <v>0.89</v>
      </c>
      <c r="AE32" s="73">
        <f>AB32*(J32/D32)^(1/2/AD32)</f>
        <v>2480.6380078663869</v>
      </c>
      <c r="AF32" s="73"/>
      <c r="AG32" s="73"/>
      <c r="AH32" s="73"/>
      <c r="AI32" s="73"/>
      <c r="AJ32" s="73"/>
      <c r="AK32" s="73"/>
      <c r="AL32" s="292"/>
      <c r="AM32" s="292"/>
      <c r="AN32" s="292"/>
      <c r="AO32" s="293"/>
      <c r="AP32" s="292"/>
      <c r="AQ32" s="73"/>
      <c r="AR32" s="73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</row>
    <row r="33" spans="1:60" s="138" customFormat="1" ht="18" customHeight="1">
      <c r="A33" s="520" t="str">
        <f>'driving mode datasheet'!$A33</f>
        <v>G61</v>
      </c>
      <c r="B33" s="288">
        <f>'driving mode datasheet'!B33</f>
        <v>705</v>
      </c>
      <c r="C33" s="437">
        <f>'driving mode datasheet'!C33</f>
        <v>211.95146878333776</v>
      </c>
      <c r="D33" s="435">
        <f t="shared" si="0"/>
        <v>113.69423813341461</v>
      </c>
      <c r="E33" s="289">
        <f t="shared" si="9"/>
        <v>1540</v>
      </c>
      <c r="F33" s="290">
        <f>$Q33*$F$21/'driving mode datasheet'!$F$21</f>
        <v>76</v>
      </c>
      <c r="G33" s="160">
        <f t="shared" si="1"/>
        <v>4000</v>
      </c>
      <c r="H33" s="158">
        <f t="shared" si="2"/>
        <v>1031.2721553654512</v>
      </c>
      <c r="I33" s="436">
        <f t="shared" si="10"/>
        <v>283.65247830639538</v>
      </c>
      <c r="J33" s="434">
        <f t="shared" si="3"/>
        <v>166.31163406025442</v>
      </c>
      <c r="K33" s="158">
        <f t="shared" si="11"/>
        <v>1540</v>
      </c>
      <c r="L33" s="159">
        <f t="shared" si="4"/>
        <v>75.53720261650291</v>
      </c>
      <c r="M33" s="160">
        <f t="shared" si="12"/>
        <v>3491.291885986243</v>
      </c>
      <c r="N33" s="441">
        <f>RESUM!H32</f>
        <v>117.24327434675257</v>
      </c>
      <c r="O33" s="495">
        <f>'driving mode parameters'!H81</f>
        <v>0.96360897597738915</v>
      </c>
      <c r="P33" s="495">
        <f>'driving mode parameters'!H82</f>
        <v>0.74607458050588471</v>
      </c>
      <c r="Q33" s="496">
        <f>'driving mode parameters'!H75</f>
        <v>76</v>
      </c>
      <c r="R33" s="496">
        <f>'driving mode parameters'!H76</f>
        <v>1540</v>
      </c>
      <c r="S33" s="496">
        <f t="shared" si="13"/>
        <v>-20</v>
      </c>
      <c r="T33" s="102"/>
      <c r="U33" s="497">
        <f t="shared" si="5"/>
        <v>1031.2721553654512</v>
      </c>
      <c r="V33" s="497">
        <f t="shared" si="6"/>
        <v>283.65247830639538</v>
      </c>
      <c r="W33" s="497">
        <f t="shared" si="14"/>
        <v>801.90170356764042</v>
      </c>
      <c r="X33" s="497">
        <f t="shared" ref="X33:X40" si="18">X32</f>
        <v>3167.3633106771249</v>
      </c>
      <c r="Y33" s="497">
        <f>'driving mode datasheet'!Y33*$M$21/'driving mode datasheet'!$M$21*E33/'driving mode datasheet'!E33</f>
        <v>1281.0186476083695</v>
      </c>
      <c r="Z33" s="497">
        <f t="shared" si="7"/>
        <v>424.89532379621875</v>
      </c>
      <c r="AA33" s="497">
        <f t="shared" si="15"/>
        <v>3491.291885986243</v>
      </c>
      <c r="AB33" s="497">
        <f t="shared" si="8"/>
        <v>2264.1709169924034</v>
      </c>
      <c r="AC33" s="498">
        <f t="shared" si="16"/>
        <v>5352.8658010427271</v>
      </c>
      <c r="AD33" s="73">
        <f t="shared" si="17"/>
        <v>0.89</v>
      </c>
      <c r="AE33" s="73"/>
      <c r="AF33" s="73"/>
      <c r="AG33" s="73"/>
      <c r="AH33" s="73"/>
      <c r="AI33" s="73"/>
      <c r="AJ33" s="73"/>
      <c r="AK33" s="73"/>
      <c r="AL33" s="292"/>
      <c r="AM33" s="292"/>
      <c r="AN33" s="292"/>
      <c r="AO33" s="293"/>
      <c r="AP33" s="292"/>
      <c r="AQ33" s="73"/>
      <c r="AR33" s="73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</row>
    <row r="34" spans="1:60" s="73" customFormat="1" ht="18" customHeight="1">
      <c r="A34" s="521" t="str">
        <f>'driving mode datasheet'!$A34</f>
        <v>H61</v>
      </c>
      <c r="B34" s="484">
        <f>'driving mode datasheet'!B34</f>
        <v>705</v>
      </c>
      <c r="C34" s="485">
        <f>'driving mode datasheet'!C34</f>
        <v>247.42495234684944</v>
      </c>
      <c r="D34" s="486">
        <f t="shared" si="0"/>
        <v>131.41282069966104</v>
      </c>
      <c r="E34" s="487">
        <f t="shared" si="9"/>
        <v>1780</v>
      </c>
      <c r="F34" s="488">
        <f>$Q34*$F$21/'driving mode datasheet'!$F$21</f>
        <v>88</v>
      </c>
      <c r="G34" s="473">
        <f>IF(AC34&lt;$L$13,AC34,$L$13)</f>
        <v>4000</v>
      </c>
      <c r="H34" s="471">
        <f t="shared" si="2"/>
        <v>1030.4449043341901</v>
      </c>
      <c r="I34" s="469">
        <f t="shared" si="10"/>
        <v>330.21695705031459</v>
      </c>
      <c r="J34" s="470">
        <f t="shared" si="3"/>
        <v>192.07612972219621</v>
      </c>
      <c r="K34" s="471">
        <f t="shared" si="11"/>
        <v>1780</v>
      </c>
      <c r="L34" s="472">
        <f t="shared" si="4"/>
        <v>87.538376022221001</v>
      </c>
      <c r="M34" s="473">
        <f t="shared" si="12"/>
        <v>4000</v>
      </c>
      <c r="N34" s="489">
        <f>RESUM!I32</f>
        <v>138.32269547468172</v>
      </c>
      <c r="O34" s="495">
        <f>'driving mode parameters'!I81</f>
        <v>0.96569966218435133</v>
      </c>
      <c r="P34" s="495">
        <f>'driving mode parameters'!I82</f>
        <v>0.74031355750950623</v>
      </c>
      <c r="Q34" s="496">
        <f>'driving mode parameters'!I75</f>
        <v>88</v>
      </c>
      <c r="R34" s="496">
        <f>'driving mode parameters'!I76</f>
        <v>1780</v>
      </c>
      <c r="S34" s="496">
        <f t="shared" si="13"/>
        <v>-20</v>
      </c>
      <c r="T34" s="102"/>
      <c r="U34" s="497">
        <f t="shared" si="5"/>
        <v>1030.4449043341901</v>
      </c>
      <c r="V34" s="497">
        <f t="shared" si="6"/>
        <v>330.21695705031459</v>
      </c>
      <c r="W34" s="497">
        <f t="shared" si="14"/>
        <v>931.99564967666049</v>
      </c>
      <c r="X34" s="497">
        <f t="shared" si="18"/>
        <v>3167.3633106771249</v>
      </c>
      <c r="Y34" s="497">
        <f>'driving mode datasheet'!Y34*$M$21/'driving mode datasheet'!$M$21*E34/'driving mode datasheet'!E34</f>
        <v>1477.8331327854885</v>
      </c>
      <c r="Z34" s="497">
        <f t="shared" si="7"/>
        <v>490.17583674054237</v>
      </c>
      <c r="AA34" s="497">
        <f t="shared" si="15"/>
        <v>4022.6834739257029</v>
      </c>
      <c r="AB34" s="497">
        <f>AC34*(B34*E34/AC34/H34)^(1/(1+AD34))</f>
        <v>2613.1452776050551</v>
      </c>
      <c r="AC34" s="498">
        <f t="shared" si="16"/>
        <v>6162.0393436303139</v>
      </c>
      <c r="AD34" s="73">
        <f t="shared" si="17"/>
        <v>0.89</v>
      </c>
      <c r="AL34" s="292"/>
      <c r="AM34" s="292"/>
      <c r="AN34" s="292"/>
      <c r="AO34" s="293"/>
      <c r="AP34" s="292"/>
    </row>
    <row r="35" spans="1:60" s="73" customFormat="1" ht="18" customHeight="1">
      <c r="A35" s="521" t="str">
        <f>'driving mode datasheet'!$A35</f>
        <v>E62</v>
      </c>
      <c r="B35" s="484">
        <f>'driving mode datasheet'!B35</f>
        <v>650</v>
      </c>
      <c r="C35" s="485">
        <f>'driving mode datasheet'!C35</f>
        <v>270.17449759708887</v>
      </c>
      <c r="D35" s="486">
        <f t="shared" si="0"/>
        <v>142.49757433068518</v>
      </c>
      <c r="E35" s="487">
        <f t="shared" si="9"/>
        <v>2093.4639999999999</v>
      </c>
      <c r="F35" s="488">
        <f>$Q35*$F$21/'driving mode datasheet'!$F$21</f>
        <v>104</v>
      </c>
      <c r="G35" s="473">
        <f t="shared" ref="G35:G40" si="19">IF(AC35&lt;$L$13,AC35,$L$13)</f>
        <v>4000</v>
      </c>
      <c r="H35" s="471">
        <f t="shared" si="2"/>
        <v>949.27127779891418</v>
      </c>
      <c r="I35" s="469">
        <f t="shared" si="10"/>
        <v>359.57517926251217</v>
      </c>
      <c r="J35" s="470">
        <f t="shared" si="3"/>
        <v>208.10592995097744</v>
      </c>
      <c r="K35" s="471">
        <f t="shared" si="11"/>
        <v>2093.4639999999999</v>
      </c>
      <c r="L35" s="472">
        <f t="shared" si="4"/>
        <v>103.69004703967042</v>
      </c>
      <c r="M35" s="473">
        <f t="shared" si="12"/>
        <v>4000</v>
      </c>
      <c r="N35" s="489">
        <f>RESUM!J32</f>
        <v>152.62759372619101</v>
      </c>
      <c r="O35" s="495">
        <f>'driving mode parameters'!J81</f>
        <v>0.96762059827185676</v>
      </c>
      <c r="P35" s="495">
        <f>'driving mode parameters'!J82</f>
        <v>0.73662695248331644</v>
      </c>
      <c r="Q35" s="496">
        <f>'driving mode parameters'!J75</f>
        <v>104</v>
      </c>
      <c r="R35" s="496">
        <f>'driving mode parameters'!J76</f>
        <v>2093.4639999999999</v>
      </c>
      <c r="S35" s="496">
        <f t="shared" si="13"/>
        <v>-13.463999999999942</v>
      </c>
      <c r="T35" s="102"/>
      <c r="U35" s="497">
        <f t="shared" si="5"/>
        <v>949.27127779891418</v>
      </c>
      <c r="V35" s="497">
        <f t="shared" si="6"/>
        <v>359.57517926251217</v>
      </c>
      <c r="W35" s="497">
        <f t="shared" si="14"/>
        <v>1096.9919200231695</v>
      </c>
      <c r="X35" s="497">
        <f t="shared" si="18"/>
        <v>3167.3633106771249</v>
      </c>
      <c r="Y35" s="497">
        <f>'driving mode datasheet'!Y35*$M$21/'driving mode datasheet'!$M$21*E35/'driving mode datasheet'!E35</f>
        <v>1800.9642536044678</v>
      </c>
      <c r="Z35" s="497">
        <f t="shared" si="7"/>
        <v>597.35374743321279</v>
      </c>
      <c r="AA35" s="497">
        <f t="shared" si="15"/>
        <v>5594.6902012896899</v>
      </c>
      <c r="AB35" s="497">
        <f>AC35*(B35*E35/AC35/H35)^(1/(1+AD35))</f>
        <v>3325.8100952714049</v>
      </c>
      <c r="AC35" s="498">
        <f t="shared" si="16"/>
        <v>8562.126558996606</v>
      </c>
      <c r="AD35" s="73">
        <f t="shared" si="17"/>
        <v>0.89</v>
      </c>
      <c r="AL35" s="292"/>
      <c r="AM35" s="292"/>
      <c r="AN35" s="292"/>
      <c r="AO35" s="293"/>
      <c r="AP35" s="292"/>
    </row>
    <row r="36" spans="1:60" s="73" customFormat="1" ht="18" customHeight="1">
      <c r="A36" s="521" t="str">
        <f>'driving mode datasheet'!$A36</f>
        <v>F62</v>
      </c>
      <c r="B36" s="484">
        <f>'driving mode datasheet'!B36</f>
        <v>600</v>
      </c>
      <c r="C36" s="485">
        <f>'driving mode datasheet'!C36</f>
        <v>288.62162127015864</v>
      </c>
      <c r="D36" s="486">
        <f t="shared" si="0"/>
        <v>146.55027074171807</v>
      </c>
      <c r="E36" s="487">
        <f t="shared" si="9"/>
        <v>2332.4199999999996</v>
      </c>
      <c r="F36" s="488">
        <f>$Q36*$F$21/'driving mode datasheet'!$F$21</f>
        <v>116</v>
      </c>
      <c r="G36" s="473">
        <f t="shared" si="19"/>
        <v>4000</v>
      </c>
      <c r="H36" s="471">
        <f t="shared" si="2"/>
        <v>872.24221423183826</v>
      </c>
      <c r="I36" s="469">
        <f t="shared" si="10"/>
        <v>378.50970393792278</v>
      </c>
      <c r="J36" s="470">
        <f t="shared" si="3"/>
        <v>213.04555441338593</v>
      </c>
      <c r="K36" s="471">
        <f t="shared" si="11"/>
        <v>2332.4199999999996</v>
      </c>
      <c r="L36" s="472">
        <f t="shared" si="4"/>
        <v>115.71822930827007</v>
      </c>
      <c r="M36" s="473">
        <f t="shared" si="12"/>
        <v>4000</v>
      </c>
      <c r="N36" s="489">
        <f>RESUM!K32</f>
        <v>171.58262270251331</v>
      </c>
      <c r="O36" s="495">
        <f>'driving mode parameters'!K81</f>
        <v>0.96738052390290596</v>
      </c>
      <c r="P36" s="495">
        <f>'driving mode parameters'!K82</f>
        <v>0.70898081618137343</v>
      </c>
      <c r="Q36" s="496">
        <f>'driving mode parameters'!K75</f>
        <v>116</v>
      </c>
      <c r="R36" s="496">
        <f>'driving mode parameters'!K76</f>
        <v>2332.4199999999996</v>
      </c>
      <c r="S36" s="496">
        <f t="shared" si="13"/>
        <v>-12.419999999999618</v>
      </c>
      <c r="T36" s="102"/>
      <c r="U36" s="497">
        <f t="shared" si="5"/>
        <v>872.24221423183826</v>
      </c>
      <c r="V36" s="497">
        <f t="shared" si="6"/>
        <v>378.50970393792278</v>
      </c>
      <c r="W36" s="497">
        <f t="shared" si="14"/>
        <v>1237.1010966335375</v>
      </c>
      <c r="X36" s="497">
        <f t="shared" si="18"/>
        <v>3167.3633106771249</v>
      </c>
      <c r="Y36" s="497">
        <f>'driving mode datasheet'!Y36*$M$21/'driving mode datasheet'!$M$21*E36/'driving mode datasheet'!E36</f>
        <v>2085.9462163274884</v>
      </c>
      <c r="Z36" s="497">
        <f t="shared" si="7"/>
        <v>691.8781351564885</v>
      </c>
      <c r="AA36" s="497">
        <f t="shared" si="15"/>
        <v>7444.0623796733744</v>
      </c>
      <c r="AB36" s="497">
        <f>AC36*(B36*E36/AC36/H36)^(1/(1+AD36))</f>
        <v>4028.483777499911</v>
      </c>
      <c r="AC36" s="498">
        <f t="shared" si="16"/>
        <v>11333.873886384285</v>
      </c>
      <c r="AD36" s="73">
        <f t="shared" si="17"/>
        <v>0.89</v>
      </c>
      <c r="AL36" s="292"/>
      <c r="AM36" s="292"/>
      <c r="AN36" s="292"/>
      <c r="AO36" s="293"/>
      <c r="AP36" s="292"/>
    </row>
    <row r="37" spans="1:60" s="73" customFormat="1" ht="18" customHeight="1">
      <c r="A37" s="521">
        <f>'driving mode datasheet'!$A37</f>
        <v>0</v>
      </c>
      <c r="B37" s="484">
        <f>'driving mode datasheet'!B37</f>
        <v>0</v>
      </c>
      <c r="C37" s="485">
        <f>'driving mode datasheet'!C37</f>
        <v>0</v>
      </c>
      <c r="D37" s="486" t="e">
        <f>E37*$B37*PI()/30000</f>
        <v>#DIV/0!</v>
      </c>
      <c r="E37" s="487" t="e">
        <f t="shared" si="9"/>
        <v>#DIV/0!</v>
      </c>
      <c r="F37" s="488" t="e">
        <f>$Q37*$F$21/'driving mode datasheet'!$F$21</f>
        <v>#DIV/0!</v>
      </c>
      <c r="G37" s="473" t="e">
        <f t="shared" si="19"/>
        <v>#DIV/0!</v>
      </c>
      <c r="H37" s="471" t="e">
        <f t="shared" si="2"/>
        <v>#DIV/0!</v>
      </c>
      <c r="I37" s="469" t="e">
        <f t="shared" si="10"/>
        <v>#DIV/0!</v>
      </c>
      <c r="J37" s="470" t="e">
        <f t="shared" si="3"/>
        <v>#DIV/0!</v>
      </c>
      <c r="K37" s="471" t="e">
        <f>IF(E37&lt;M37,E37,M37)</f>
        <v>#DIV/0!</v>
      </c>
      <c r="L37" s="472" t="e">
        <f t="shared" si="4"/>
        <v>#DIV/0!</v>
      </c>
      <c r="M37" s="473" t="e">
        <f t="shared" si="12"/>
        <v>#DIV/0!</v>
      </c>
      <c r="N37" s="489">
        <f>RESUM!L32</f>
        <v>0</v>
      </c>
      <c r="O37" s="495" t="e">
        <f>'driving mode parameters'!L81</f>
        <v>#DIV/0!</v>
      </c>
      <c r="P37" s="495" t="e">
        <f>'driving mode parameters'!L82</f>
        <v>#DIV/0!</v>
      </c>
      <c r="Q37" s="496" t="e">
        <f>'driving mode parameters'!L75</f>
        <v>#DIV/0!</v>
      </c>
      <c r="R37" s="496" t="e">
        <f>'driving mode parameters'!L76</f>
        <v>#DIV/0!</v>
      </c>
      <c r="S37" s="496" t="e">
        <f t="shared" si="13"/>
        <v>#DIV/0!</v>
      </c>
      <c r="T37" s="102"/>
      <c r="U37" s="497" t="e">
        <f t="shared" si="5"/>
        <v>#DIV/0!</v>
      </c>
      <c r="V37" s="497">
        <f t="shared" si="6"/>
        <v>0</v>
      </c>
      <c r="W37" s="497" t="e">
        <f t="shared" si="14"/>
        <v>#DIV/0!</v>
      </c>
      <c r="X37" s="497">
        <f t="shared" si="18"/>
        <v>3167.3633106771249</v>
      </c>
      <c r="Y37" s="497" t="e">
        <f>'driving mode datasheet'!Y37*$M$21/'driving mode datasheet'!$M$21*E37/'driving mode datasheet'!E37</f>
        <v>#DIV/0!</v>
      </c>
      <c r="Z37" s="497" t="e">
        <f t="shared" si="7"/>
        <v>#DIV/0!</v>
      </c>
      <c r="AA37" s="497" t="e">
        <f t="shared" si="15"/>
        <v>#DIV/0!</v>
      </c>
      <c r="AB37" s="497" t="e">
        <f>AC37*(B37*E37/AC37/H37)^(1/(1+AD37))</f>
        <v>#DIV/0!</v>
      </c>
      <c r="AC37" s="498" t="e">
        <f t="shared" si="16"/>
        <v>#DIV/0!</v>
      </c>
      <c r="AD37" s="73">
        <f t="shared" si="17"/>
        <v>0.89</v>
      </c>
      <c r="AL37" s="292"/>
      <c r="AM37" s="292"/>
      <c r="AN37" s="292"/>
      <c r="AO37" s="293"/>
      <c r="AP37" s="292"/>
    </row>
    <row r="38" spans="1:60" s="73" customFormat="1" ht="18" customHeight="1">
      <c r="A38" s="521">
        <f>'driving mode datasheet'!$A38</f>
        <v>0</v>
      </c>
      <c r="B38" s="484">
        <f>'driving mode datasheet'!B38</f>
        <v>0</v>
      </c>
      <c r="C38" s="485">
        <f>'driving mode datasheet'!C38</f>
        <v>0</v>
      </c>
      <c r="D38" s="486" t="e">
        <f t="shared" si="0"/>
        <v>#DIV/0!</v>
      </c>
      <c r="E38" s="487" t="e">
        <f t="shared" si="9"/>
        <v>#DIV/0!</v>
      </c>
      <c r="F38" s="488" t="e">
        <f>$Q38*$F$21/'driving mode datasheet'!$F$21</f>
        <v>#DIV/0!</v>
      </c>
      <c r="G38" s="473" t="e">
        <f t="shared" si="19"/>
        <v>#DIV/0!</v>
      </c>
      <c r="H38" s="471" t="e">
        <f t="shared" si="2"/>
        <v>#DIV/0!</v>
      </c>
      <c r="I38" s="469" t="e">
        <f t="shared" si="10"/>
        <v>#DIV/0!</v>
      </c>
      <c r="J38" s="470" t="e">
        <f t="shared" si="3"/>
        <v>#DIV/0!</v>
      </c>
      <c r="K38" s="471" t="e">
        <f>IF(E38&lt;M38,E38,M38)</f>
        <v>#DIV/0!</v>
      </c>
      <c r="L38" s="472" t="e">
        <f t="shared" si="4"/>
        <v>#DIV/0!</v>
      </c>
      <c r="M38" s="473" t="e">
        <f t="shared" si="12"/>
        <v>#DIV/0!</v>
      </c>
      <c r="N38" s="489">
        <f>RESUM!M32</f>
        <v>0</v>
      </c>
      <c r="O38" s="495" t="e">
        <f>'driving mode parameters'!M81</f>
        <v>#DIV/0!</v>
      </c>
      <c r="P38" s="495" t="e">
        <f>'driving mode parameters'!M82</f>
        <v>#DIV/0!</v>
      </c>
      <c r="Q38" s="496" t="e">
        <f>'driving mode parameters'!M75</f>
        <v>#DIV/0!</v>
      </c>
      <c r="R38" s="496" t="e">
        <f>'driving mode parameters'!M76</f>
        <v>#DIV/0!</v>
      </c>
      <c r="S38" s="496" t="e">
        <f t="shared" si="13"/>
        <v>#DIV/0!</v>
      </c>
      <c r="T38" s="102"/>
      <c r="U38" s="497" t="e">
        <f t="shared" si="5"/>
        <v>#DIV/0!</v>
      </c>
      <c r="V38" s="497">
        <f t="shared" si="6"/>
        <v>0</v>
      </c>
      <c r="W38" s="497" t="e">
        <f t="shared" si="14"/>
        <v>#DIV/0!</v>
      </c>
      <c r="X38" s="497">
        <f t="shared" si="18"/>
        <v>3167.3633106771249</v>
      </c>
      <c r="Y38" s="497" t="e">
        <f>'driving mode datasheet'!Y38*$M$21/'driving mode datasheet'!$M$21*E38/'driving mode datasheet'!E38</f>
        <v>#DIV/0!</v>
      </c>
      <c r="Z38" s="497" t="e">
        <f t="shared" si="7"/>
        <v>#DIV/0!</v>
      </c>
      <c r="AA38" s="497" t="e">
        <f t="shared" si="15"/>
        <v>#DIV/0!</v>
      </c>
      <c r="AB38" s="497" t="e">
        <f>AC38*(B38*E38/AC38/H38)^(1/(1+AD38))</f>
        <v>#DIV/0!</v>
      </c>
      <c r="AC38" s="498" t="e">
        <f t="shared" si="16"/>
        <v>#DIV/0!</v>
      </c>
      <c r="AD38" s="73">
        <f t="shared" si="17"/>
        <v>0.89</v>
      </c>
      <c r="AL38" s="292"/>
      <c r="AM38" s="292"/>
      <c r="AN38" s="292"/>
      <c r="AO38" s="293"/>
      <c r="AP38" s="292"/>
    </row>
    <row r="39" spans="1:60" s="73" customFormat="1" ht="18" customHeight="1">
      <c r="A39" s="521">
        <f>'driving mode datasheet'!$A39</f>
        <v>0</v>
      </c>
      <c r="B39" s="484">
        <f>'driving mode datasheet'!B39</f>
        <v>0</v>
      </c>
      <c r="C39" s="485">
        <f>'driving mode datasheet'!C39</f>
        <v>0</v>
      </c>
      <c r="D39" s="486" t="e">
        <f t="shared" si="0"/>
        <v>#DIV/0!</v>
      </c>
      <c r="E39" s="487" t="e">
        <f t="shared" si="9"/>
        <v>#DIV/0!</v>
      </c>
      <c r="F39" s="488" t="e">
        <f>$Q39*$F$21/'driving mode datasheet'!$F$21</f>
        <v>#DIV/0!</v>
      </c>
      <c r="G39" s="473" t="e">
        <f t="shared" si="19"/>
        <v>#DIV/0!</v>
      </c>
      <c r="H39" s="471" t="e">
        <f t="shared" si="2"/>
        <v>#DIV/0!</v>
      </c>
      <c r="I39" s="469" t="e">
        <f t="shared" si="10"/>
        <v>#DIV/0!</v>
      </c>
      <c r="J39" s="470" t="e">
        <f t="shared" si="3"/>
        <v>#DIV/0!</v>
      </c>
      <c r="K39" s="471" t="e">
        <f t="shared" ref="K39:K40" si="20">IF(E39&lt;M39,E39,M39)</f>
        <v>#DIV/0!</v>
      </c>
      <c r="L39" s="472" t="e">
        <f t="shared" si="4"/>
        <v>#DIV/0!</v>
      </c>
      <c r="M39" s="473" t="e">
        <f t="shared" si="12"/>
        <v>#DIV/0!</v>
      </c>
      <c r="N39" s="489">
        <f>RESUM!N32</f>
        <v>0</v>
      </c>
      <c r="O39" s="495" t="e">
        <f>'driving mode parameters'!N81</f>
        <v>#DIV/0!</v>
      </c>
      <c r="P39" s="495" t="e">
        <f>'driving mode parameters'!N82</f>
        <v>#DIV/0!</v>
      </c>
      <c r="Q39" s="496" t="e">
        <f>'driving mode parameters'!N75</f>
        <v>#DIV/0!</v>
      </c>
      <c r="R39" s="496" t="e">
        <f>'driving mode parameters'!N76</f>
        <v>#DIV/0!</v>
      </c>
      <c r="S39" s="496" t="e">
        <f t="shared" si="13"/>
        <v>#DIV/0!</v>
      </c>
      <c r="T39" s="102"/>
      <c r="U39" s="497" t="e">
        <f t="shared" si="5"/>
        <v>#DIV/0!</v>
      </c>
      <c r="V39" s="497">
        <f t="shared" si="6"/>
        <v>0</v>
      </c>
      <c r="W39" s="497" t="e">
        <f t="shared" si="14"/>
        <v>#DIV/0!</v>
      </c>
      <c r="X39" s="497">
        <f t="shared" si="18"/>
        <v>3167.3633106771249</v>
      </c>
      <c r="Y39" s="497" t="e">
        <f>'driving mode datasheet'!Y39*$M$21/'driving mode datasheet'!$M$21*E39/'driving mode datasheet'!E39</f>
        <v>#DIV/0!</v>
      </c>
      <c r="Z39" s="497" t="e">
        <f t="shared" si="7"/>
        <v>#DIV/0!</v>
      </c>
      <c r="AA39" s="497" t="e">
        <f t="shared" si="15"/>
        <v>#DIV/0!</v>
      </c>
      <c r="AB39" s="497" t="e">
        <f t="shared" ref="AB39:AB40" si="21">AC39*(B39*E39/AC39/H39)^(1/(1+AD39))</f>
        <v>#DIV/0!</v>
      </c>
      <c r="AC39" s="498" t="e">
        <f t="shared" si="16"/>
        <v>#DIV/0!</v>
      </c>
      <c r="AD39" s="73">
        <f t="shared" si="17"/>
        <v>0.89</v>
      </c>
      <c r="AL39" s="292"/>
      <c r="AM39" s="292"/>
      <c r="AN39" s="292"/>
      <c r="AO39" s="293"/>
      <c r="AP39" s="292"/>
    </row>
    <row r="40" spans="1:60" s="404" customFormat="1" ht="18" customHeight="1" thickBot="1">
      <c r="A40" s="521">
        <f>'driving mode datasheet'!$A40</f>
        <v>0</v>
      </c>
      <c r="B40" s="484">
        <f>'driving mode datasheet'!B40</f>
        <v>0</v>
      </c>
      <c r="C40" s="485">
        <f>'driving mode datasheet'!C40</f>
        <v>0</v>
      </c>
      <c r="D40" s="486" t="e">
        <f t="shared" si="0"/>
        <v>#DIV/0!</v>
      </c>
      <c r="E40" s="487" t="e">
        <f t="shared" si="9"/>
        <v>#DIV/0!</v>
      </c>
      <c r="F40" s="488" t="e">
        <f>$Q40*$F$21/'driving mode datasheet'!$F$21</f>
        <v>#DIV/0!</v>
      </c>
      <c r="G40" s="473" t="e">
        <f t="shared" si="19"/>
        <v>#DIV/0!</v>
      </c>
      <c r="H40" s="471" t="e">
        <f t="shared" si="2"/>
        <v>#DIV/0!</v>
      </c>
      <c r="I40" s="469" t="e">
        <f t="shared" si="10"/>
        <v>#DIV/0!</v>
      </c>
      <c r="J40" s="470" t="e">
        <f t="shared" si="3"/>
        <v>#DIV/0!</v>
      </c>
      <c r="K40" s="471" t="e">
        <f t="shared" si="20"/>
        <v>#DIV/0!</v>
      </c>
      <c r="L40" s="472" t="e">
        <f t="shared" si="4"/>
        <v>#DIV/0!</v>
      </c>
      <c r="M40" s="473" t="e">
        <f t="shared" si="12"/>
        <v>#DIV/0!</v>
      </c>
      <c r="N40" s="489">
        <f>RESUM!O32</f>
        <v>0</v>
      </c>
      <c r="O40" s="495" t="e">
        <f>'driving mode parameters'!O81</f>
        <v>#DIV/0!</v>
      </c>
      <c r="P40" s="495" t="e">
        <f>'driving mode parameters'!O82</f>
        <v>#DIV/0!</v>
      </c>
      <c r="Q40" s="496" t="e">
        <f>'driving mode parameters'!O75</f>
        <v>#DIV/0!</v>
      </c>
      <c r="R40" s="496" t="e">
        <f>'driving mode parameters'!O76</f>
        <v>#DIV/0!</v>
      </c>
      <c r="S40" s="496" t="e">
        <f t="shared" si="13"/>
        <v>#DIV/0!</v>
      </c>
      <c r="T40" s="102"/>
      <c r="U40" s="497" t="e">
        <f t="shared" si="5"/>
        <v>#DIV/0!</v>
      </c>
      <c r="V40" s="497">
        <f t="shared" si="6"/>
        <v>0</v>
      </c>
      <c r="W40" s="497" t="e">
        <f t="shared" si="14"/>
        <v>#DIV/0!</v>
      </c>
      <c r="X40" s="497">
        <f t="shared" si="18"/>
        <v>3167.3633106771249</v>
      </c>
      <c r="Y40" s="497" t="e">
        <f>'driving mode datasheet'!Y40*$M$21/'driving mode datasheet'!$M$21*E40/'driving mode datasheet'!E40</f>
        <v>#DIV/0!</v>
      </c>
      <c r="Z40" s="497" t="e">
        <f t="shared" si="7"/>
        <v>#DIV/0!</v>
      </c>
      <c r="AA40" s="497" t="e">
        <f t="shared" si="15"/>
        <v>#DIV/0!</v>
      </c>
      <c r="AB40" s="497" t="e">
        <f t="shared" si="21"/>
        <v>#DIV/0!</v>
      </c>
      <c r="AC40" s="498" t="e">
        <f t="shared" si="16"/>
        <v>#DIV/0!</v>
      </c>
      <c r="AD40" s="73">
        <f t="shared" si="17"/>
        <v>0.89</v>
      </c>
      <c r="AE40" s="73"/>
      <c r="AF40" s="73"/>
      <c r="AL40" s="412"/>
      <c r="AM40" s="412"/>
      <c r="AN40" s="412"/>
      <c r="AO40" s="421"/>
      <c r="AP40" s="412"/>
    </row>
    <row r="41" spans="1:60" s="92" customFormat="1" ht="19.5" customHeight="1" thickBot="1">
      <c r="A41" s="165" t="s">
        <v>96</v>
      </c>
      <c r="B41" s="166"/>
      <c r="C41" s="166"/>
      <c r="D41" s="166"/>
      <c r="E41" s="166"/>
      <c r="F41" s="166"/>
      <c r="G41" s="167"/>
      <c r="H41" s="165" t="s">
        <v>97</v>
      </c>
      <c r="I41" s="166"/>
      <c r="J41" s="166"/>
      <c r="K41" s="166"/>
      <c r="L41" s="166"/>
      <c r="M41" s="166"/>
      <c r="N41" s="167"/>
      <c r="O41" s="102"/>
      <c r="P41" s="73"/>
      <c r="Q41" s="73"/>
      <c r="R41" s="73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398"/>
      <c r="AE41" s="398"/>
      <c r="AF41" s="398"/>
      <c r="AG41" s="398"/>
      <c r="AH41" s="398"/>
      <c r="AI41" s="398"/>
      <c r="AJ41" s="398"/>
      <c r="AK41" s="398"/>
      <c r="AL41" s="398"/>
      <c r="AM41" s="398"/>
      <c r="AN41" s="398"/>
      <c r="AO41" s="398"/>
      <c r="AP41" s="398"/>
      <c r="AQ41" s="398"/>
      <c r="AR41" s="398"/>
      <c r="AS41" s="168"/>
      <c r="AT41" s="168"/>
      <c r="AU41" s="168"/>
      <c r="AV41" s="168"/>
      <c r="AW41" s="168"/>
      <c r="AX41" s="168"/>
      <c r="AY41" s="168"/>
      <c r="AZ41" s="168"/>
      <c r="BA41" s="168"/>
      <c r="BB41" s="168"/>
      <c r="BC41" s="168"/>
      <c r="BD41" s="168"/>
      <c r="BE41" s="169"/>
      <c r="BF41" s="168"/>
      <c r="BG41" s="168"/>
      <c r="BH41" s="168"/>
    </row>
    <row r="42" spans="1:60" ht="15" customHeight="1">
      <c r="C42" s="76"/>
      <c r="E42" s="90"/>
      <c r="F42" s="76"/>
      <c r="G42" s="90"/>
      <c r="I42" s="76"/>
      <c r="J42" s="90"/>
      <c r="K42" s="170"/>
      <c r="L42" s="76"/>
      <c r="M42" s="90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</row>
    <row r="43" spans="1:60" ht="15" customHeight="1">
      <c r="C43" s="76"/>
      <c r="E43" s="90"/>
      <c r="F43" s="76"/>
      <c r="G43" s="90"/>
      <c r="I43" s="76"/>
      <c r="J43" s="90"/>
      <c r="K43" s="170"/>
      <c r="L43" s="76"/>
      <c r="M43" s="90"/>
    </row>
    <row r="44" spans="1:60" ht="15" customHeight="1">
      <c r="C44" s="76"/>
      <c r="E44" s="90"/>
      <c r="F44" s="76"/>
      <c r="G44" s="90"/>
      <c r="I44" s="76"/>
      <c r="J44" s="90"/>
      <c r="K44" s="170"/>
      <c r="L44" s="76"/>
      <c r="M44" s="90"/>
    </row>
    <row r="45" spans="1:60" ht="15" customHeight="1">
      <c r="C45" s="76"/>
      <c r="E45" s="90"/>
      <c r="F45" s="76"/>
      <c r="G45" s="90"/>
      <c r="I45" s="76"/>
      <c r="J45" s="90"/>
      <c r="K45" s="170"/>
      <c r="L45" s="76"/>
      <c r="M45" s="90"/>
    </row>
    <row r="46" spans="1:60" ht="15" customHeight="1">
      <c r="C46" s="76"/>
      <c r="E46" s="90"/>
      <c r="F46" s="76"/>
      <c r="G46" s="90"/>
      <c r="I46" s="76"/>
      <c r="J46" s="90"/>
      <c r="K46" s="170"/>
      <c r="L46" s="76"/>
      <c r="M46" s="90"/>
    </row>
    <row r="47" spans="1:60" ht="15" customHeight="1">
      <c r="C47" s="76"/>
      <c r="E47" s="90"/>
      <c r="F47" s="76"/>
      <c r="G47" s="90"/>
      <c r="I47" s="76"/>
      <c r="J47" s="90"/>
      <c r="K47" s="170"/>
      <c r="L47" s="76"/>
      <c r="M47" s="90"/>
    </row>
    <row r="48" spans="1:60" ht="15" customHeight="1">
      <c r="C48" s="76"/>
      <c r="E48" s="90"/>
      <c r="F48" s="76"/>
      <c r="G48" s="90"/>
      <c r="I48" s="76"/>
      <c r="J48" s="90"/>
      <c r="K48" s="170"/>
      <c r="L48" s="76"/>
      <c r="M48" s="90"/>
    </row>
    <row r="49" spans="3:18" ht="15" customHeight="1">
      <c r="C49" s="76"/>
      <c r="E49" s="90"/>
      <c r="F49" s="76"/>
      <c r="G49" s="90"/>
      <c r="I49" s="76"/>
      <c r="J49" s="90"/>
      <c r="K49" s="170"/>
      <c r="L49" s="76"/>
      <c r="M49" s="90"/>
    </row>
    <row r="50" spans="3:18" ht="15" customHeight="1">
      <c r="C50" s="76"/>
      <c r="E50" s="90"/>
      <c r="F50" s="76"/>
      <c r="G50" s="90"/>
      <c r="I50" s="76"/>
      <c r="J50" s="90"/>
      <c r="K50" s="170"/>
      <c r="L50" s="76"/>
      <c r="M50" s="90"/>
    </row>
    <row r="51" spans="3:18" ht="15" customHeight="1">
      <c r="C51" s="76"/>
      <c r="E51" s="90"/>
      <c r="F51" s="76"/>
      <c r="G51" s="90"/>
      <c r="I51" s="76"/>
      <c r="J51" s="90"/>
      <c r="K51" s="170"/>
      <c r="L51" s="76"/>
      <c r="M51" s="90"/>
      <c r="P51" s="101"/>
      <c r="Q51" s="101"/>
      <c r="R51" s="101"/>
    </row>
    <row r="52" spans="3:18" ht="15" customHeight="1">
      <c r="C52" s="76"/>
      <c r="E52" s="90"/>
      <c r="F52" s="76"/>
      <c r="G52" s="90"/>
      <c r="I52" s="76"/>
      <c r="J52" s="90"/>
      <c r="K52" s="170"/>
      <c r="L52" s="76"/>
      <c r="M52" s="90"/>
    </row>
    <row r="53" spans="3:18" ht="15" customHeight="1">
      <c r="C53" s="76"/>
      <c r="E53" s="90"/>
      <c r="F53" s="76"/>
      <c r="G53" s="90"/>
      <c r="I53" s="76"/>
      <c r="J53" s="90"/>
      <c r="K53" s="170"/>
      <c r="L53" s="76"/>
      <c r="M53" s="90"/>
    </row>
    <row r="54" spans="3:18" ht="15" customHeight="1">
      <c r="C54" s="76"/>
      <c r="E54" s="90"/>
      <c r="F54" s="76"/>
      <c r="G54" s="90"/>
      <c r="I54" s="76"/>
      <c r="J54" s="90"/>
      <c r="K54" s="170"/>
      <c r="L54" s="76"/>
      <c r="M54" s="90"/>
    </row>
    <row r="55" spans="3:18" ht="15" customHeight="1">
      <c r="C55" s="76"/>
      <c r="E55" s="90"/>
      <c r="F55" s="76"/>
      <c r="G55" s="90"/>
      <c r="I55" s="76"/>
      <c r="J55" s="90"/>
      <c r="K55" s="170"/>
      <c r="L55" s="76"/>
      <c r="M55" s="90"/>
    </row>
    <row r="56" spans="3:18" ht="15" customHeight="1">
      <c r="C56" s="76"/>
      <c r="E56" s="90"/>
      <c r="F56" s="76"/>
      <c r="G56" s="90"/>
      <c r="I56" s="76"/>
      <c r="J56" s="90"/>
      <c r="K56" s="170"/>
      <c r="L56" s="76"/>
      <c r="M56" s="90"/>
    </row>
    <row r="57" spans="3:18" ht="15" customHeight="1">
      <c r="C57" s="76"/>
      <c r="E57" s="90"/>
      <c r="F57" s="76"/>
      <c r="G57" s="90"/>
      <c r="I57" s="76"/>
      <c r="J57" s="90"/>
      <c r="K57" s="170"/>
      <c r="L57" s="76"/>
      <c r="M57" s="90"/>
    </row>
    <row r="58" spans="3:18" ht="15" customHeight="1">
      <c r="C58" s="76"/>
      <c r="E58" s="90"/>
      <c r="F58" s="76"/>
      <c r="G58" s="90"/>
      <c r="I58" s="76"/>
      <c r="J58" s="90"/>
      <c r="K58" s="170"/>
      <c r="L58" s="76"/>
      <c r="M58" s="90"/>
    </row>
    <row r="59" spans="3:18" ht="15" customHeight="1">
      <c r="C59" s="76"/>
      <c r="E59" s="90"/>
      <c r="F59" s="76"/>
      <c r="G59" s="90"/>
      <c r="I59" s="76"/>
      <c r="J59" s="90"/>
      <c r="K59" s="170"/>
      <c r="L59" s="76"/>
      <c r="M59" s="90"/>
    </row>
    <row r="60" spans="3:18" ht="15" customHeight="1">
      <c r="C60" s="76"/>
      <c r="E60" s="90"/>
      <c r="F60" s="76"/>
      <c r="G60" s="90"/>
      <c r="I60" s="76"/>
      <c r="J60" s="90"/>
      <c r="K60" s="170"/>
      <c r="L60" s="76"/>
      <c r="M60" s="90"/>
    </row>
    <row r="61" spans="3:18" ht="15" customHeight="1">
      <c r="C61" s="76"/>
      <c r="E61" s="90"/>
      <c r="F61" s="76"/>
      <c r="G61" s="90"/>
      <c r="I61" s="76"/>
      <c r="J61" s="90"/>
      <c r="K61" s="170"/>
      <c r="L61" s="76"/>
      <c r="M61" s="90"/>
    </row>
    <row r="62" spans="3:18" ht="15" customHeight="1">
      <c r="C62" s="76"/>
      <c r="E62" s="90"/>
      <c r="F62" s="76"/>
      <c r="G62" s="90"/>
      <c r="I62" s="76"/>
      <c r="J62" s="90"/>
      <c r="K62" s="170"/>
      <c r="L62" s="76"/>
      <c r="M62" s="90"/>
    </row>
    <row r="63" spans="3:18" ht="15" customHeight="1">
      <c r="C63" s="76"/>
      <c r="E63" s="90"/>
      <c r="F63" s="76"/>
      <c r="G63" s="90"/>
      <c r="I63" s="76"/>
      <c r="J63" s="90"/>
      <c r="K63" s="170"/>
      <c r="L63" s="76"/>
      <c r="M63" s="90"/>
    </row>
    <row r="64" spans="3:18" ht="15" customHeight="1">
      <c r="C64" s="76"/>
      <c r="E64" s="90"/>
      <c r="F64" s="76"/>
      <c r="G64" s="90"/>
      <c r="I64" s="76"/>
      <c r="J64" s="90"/>
      <c r="K64" s="170"/>
      <c r="L64" s="76"/>
      <c r="M64" s="90"/>
    </row>
    <row r="65" spans="1:19" ht="15" customHeight="1">
      <c r="C65" s="76"/>
      <c r="E65" s="90"/>
      <c r="F65" s="76"/>
      <c r="G65" s="90"/>
      <c r="I65" s="76"/>
      <c r="J65" s="90"/>
      <c r="K65" s="170"/>
      <c r="L65" s="76"/>
      <c r="M65" s="90"/>
    </row>
    <row r="66" spans="1:19" ht="15" customHeight="1">
      <c r="C66" s="76"/>
      <c r="E66" s="90"/>
      <c r="F66" s="76"/>
      <c r="G66" s="90"/>
      <c r="I66" s="76"/>
      <c r="J66" s="90"/>
      <c r="K66" s="170"/>
      <c r="L66" s="76"/>
      <c r="M66" s="90"/>
    </row>
    <row r="67" spans="1:19" ht="15" customHeight="1">
      <c r="C67" s="76"/>
      <c r="E67" s="90"/>
      <c r="F67" s="76"/>
      <c r="G67" s="90"/>
      <c r="I67" s="76"/>
      <c r="J67" s="90"/>
      <c r="K67" s="170"/>
      <c r="L67" s="76"/>
      <c r="M67" s="90"/>
    </row>
    <row r="68" spans="1:19" ht="15" customHeight="1">
      <c r="C68" s="76"/>
      <c r="E68" s="90"/>
      <c r="F68" s="76"/>
      <c r="G68" s="90"/>
      <c r="I68" s="76"/>
      <c r="J68" s="90"/>
      <c r="K68" s="170"/>
      <c r="L68" s="76"/>
      <c r="M68" s="90"/>
    </row>
    <row r="69" spans="1:19" ht="15" customHeight="1">
      <c r="C69" s="76"/>
      <c r="E69" s="90"/>
      <c r="F69" s="76"/>
      <c r="G69" s="90"/>
      <c r="I69" s="76"/>
      <c r="J69" s="90"/>
      <c r="K69" s="170"/>
      <c r="L69" s="76"/>
      <c r="M69" s="90"/>
    </row>
    <row r="70" spans="1:19" ht="15" customHeight="1">
      <c r="C70" s="76"/>
      <c r="E70" s="90"/>
      <c r="F70" s="76"/>
      <c r="G70" s="90"/>
      <c r="I70" s="76"/>
      <c r="J70" s="90"/>
      <c r="K70" s="170"/>
      <c r="L70" s="76"/>
      <c r="M70" s="90"/>
    </row>
    <row r="71" spans="1:19" ht="15" customHeight="1" thickBot="1">
      <c r="C71" s="76"/>
      <c r="E71" s="90"/>
      <c r="F71" s="76"/>
      <c r="G71" s="90"/>
      <c r="I71" s="76"/>
      <c r="J71" s="90"/>
      <c r="K71" s="170"/>
      <c r="L71" s="76"/>
      <c r="M71" s="90"/>
    </row>
    <row r="72" spans="1:19" ht="15" customHeight="1">
      <c r="A72" s="171" t="s">
        <v>98</v>
      </c>
      <c r="B72" s="66"/>
      <c r="C72" s="66"/>
      <c r="D72" s="172"/>
      <c r="E72" s="173" t="s">
        <v>99</v>
      </c>
      <c r="F72" s="66"/>
      <c r="G72" s="174"/>
      <c r="H72" s="66"/>
      <c r="I72" s="66"/>
      <c r="J72" s="172"/>
      <c r="K72" s="175" t="s">
        <v>100</v>
      </c>
      <c r="L72" s="66"/>
      <c r="M72" s="174"/>
      <c r="N72" s="67"/>
    </row>
    <row r="73" spans="1:19" ht="15" customHeight="1">
      <c r="A73" s="77"/>
      <c r="C73" s="76"/>
      <c r="D73" s="176"/>
      <c r="E73" s="177"/>
      <c r="F73" s="76"/>
      <c r="G73" s="90"/>
      <c r="I73" s="76"/>
      <c r="J73" s="176"/>
      <c r="K73" s="178"/>
      <c r="L73" s="76"/>
      <c r="M73" s="90"/>
      <c r="N73" s="78"/>
    </row>
    <row r="74" spans="1:19" ht="15" customHeight="1" thickBot="1">
      <c r="A74" s="81"/>
      <c r="B74" s="82"/>
      <c r="C74" s="82"/>
      <c r="D74" s="179">
        <f>M4</f>
        <v>45244</v>
      </c>
      <c r="E74" s="180"/>
      <c r="F74" s="82"/>
      <c r="G74" s="181"/>
      <c r="H74" s="82"/>
      <c r="I74" s="82"/>
      <c r="J74" s="179">
        <f>D74</f>
        <v>45244</v>
      </c>
      <c r="K74" s="182"/>
      <c r="L74" s="82"/>
      <c r="M74" s="181"/>
      <c r="N74" s="179">
        <f>J74</f>
        <v>45244</v>
      </c>
    </row>
    <row r="75" spans="1:19" ht="20.100000000000001" customHeight="1">
      <c r="A75" s="65"/>
      <c r="B75" s="66"/>
      <c r="C75" s="67"/>
      <c r="D75" s="183"/>
      <c r="E75" s="183"/>
      <c r="F75" s="183"/>
      <c r="G75" s="183"/>
      <c r="H75" s="183"/>
      <c r="I75" s="183"/>
      <c r="J75" s="184"/>
      <c r="K75" s="183"/>
      <c r="L75" s="185"/>
      <c r="M75" s="600"/>
      <c r="N75" s="601"/>
    </row>
    <row r="76" spans="1:19" ht="20.100000000000001" customHeight="1">
      <c r="A76" s="77"/>
      <c r="C76" s="78"/>
      <c r="D76" s="632" t="str">
        <f>D2</f>
        <v>MAC QE 200 P</v>
      </c>
      <c r="E76" s="633"/>
      <c r="F76" s="633"/>
      <c r="G76" s="633"/>
      <c r="H76" s="633"/>
      <c r="I76" s="633"/>
      <c r="J76" s="633"/>
      <c r="K76" s="634"/>
      <c r="L76" s="186"/>
      <c r="M76" s="545"/>
      <c r="N76" s="546"/>
    </row>
    <row r="77" spans="1:19" ht="20.100000000000001" customHeight="1">
      <c r="A77" s="77"/>
      <c r="C77" s="78"/>
      <c r="D77" s="607" t="s">
        <v>174</v>
      </c>
      <c r="E77" s="608"/>
      <c r="F77" s="608"/>
      <c r="G77" s="608"/>
      <c r="H77" s="608"/>
      <c r="I77" s="608"/>
      <c r="J77" s="608"/>
      <c r="K77" s="609"/>
      <c r="L77" s="186" t="s">
        <v>102</v>
      </c>
      <c r="M77" s="610" t="str">
        <f>'driving mode datasheet'!M77</f>
        <v>2 de 3</v>
      </c>
      <c r="N77" s="546"/>
    </row>
    <row r="78" spans="1:19" ht="20.100000000000001" customHeight="1">
      <c r="A78" s="77"/>
      <c r="C78" s="78"/>
      <c r="D78" s="618" t="s">
        <v>175</v>
      </c>
      <c r="E78" s="619"/>
      <c r="F78" s="619"/>
      <c r="G78" s="619"/>
      <c r="H78" s="619"/>
      <c r="I78" s="619"/>
      <c r="J78" s="619"/>
      <c r="K78" s="620"/>
      <c r="L78" s="186" t="s">
        <v>13</v>
      </c>
      <c r="M78" s="611">
        <f>'driving mode datasheet'!M78</f>
        <v>45244</v>
      </c>
      <c r="N78" s="621"/>
    </row>
    <row r="79" spans="1:19" ht="20.100000000000001" customHeight="1" thickBot="1">
      <c r="A79" s="81"/>
      <c r="B79" s="82"/>
      <c r="C79" s="83"/>
      <c r="D79" s="187"/>
      <c r="E79" s="187"/>
      <c r="F79" s="187"/>
      <c r="G79" s="187"/>
      <c r="H79" s="187"/>
      <c r="I79" s="187"/>
      <c r="J79" s="188"/>
      <c r="K79" s="187"/>
      <c r="L79" s="189"/>
      <c r="M79" s="612"/>
      <c r="N79" s="613"/>
    </row>
    <row r="80" spans="1:19" ht="20.100000000000001" customHeight="1" thickBot="1">
      <c r="C80" s="76"/>
      <c r="D80" s="76"/>
      <c r="F80" s="76"/>
      <c r="I80" s="76"/>
      <c r="J80" s="76"/>
      <c r="L80" s="76"/>
      <c r="O80" s="410"/>
      <c r="S80" s="411"/>
    </row>
    <row r="81" spans="1:56" s="138" customFormat="1" ht="18" customHeight="1">
      <c r="A81" s="643" t="s">
        <v>66</v>
      </c>
      <c r="B81" s="644"/>
      <c r="C81" s="644"/>
      <c r="D81" s="644"/>
      <c r="E81" s="645" t="s">
        <v>67</v>
      </c>
      <c r="F81" s="639">
        <f>F21</f>
        <v>400</v>
      </c>
      <c r="G81" s="640"/>
      <c r="H81" s="643" t="s">
        <v>68</v>
      </c>
      <c r="I81" s="644"/>
      <c r="J81" s="644"/>
      <c r="K81" s="644"/>
      <c r="L81" s="645" t="s">
        <v>69</v>
      </c>
      <c r="M81" s="639">
        <f>M21</f>
        <v>400</v>
      </c>
      <c r="N81" s="640"/>
      <c r="O81" s="404"/>
      <c r="P81" s="404"/>
      <c r="Q81" s="635"/>
      <c r="R81" s="635"/>
      <c r="S81" s="635"/>
      <c r="T81" s="635"/>
      <c r="U81" s="404"/>
      <c r="V81" s="404"/>
      <c r="W81" s="635"/>
      <c r="X81" s="635"/>
      <c r="Y81" s="635"/>
      <c r="Z81" s="635"/>
      <c r="AA81" s="635"/>
      <c r="AB81" s="635"/>
      <c r="AC81" s="404"/>
      <c r="AD81" s="73"/>
      <c r="AE81" s="73"/>
      <c r="AF81" s="73"/>
      <c r="AG81" s="73"/>
      <c r="AH81" s="73"/>
      <c r="AI81" s="73"/>
      <c r="AJ81" s="73"/>
      <c r="AK81" s="73"/>
      <c r="AL81" s="292"/>
      <c r="AM81" s="292"/>
      <c r="AN81" s="292"/>
      <c r="AO81" s="293"/>
      <c r="AP81" s="292"/>
      <c r="AQ81" s="73"/>
      <c r="AR81" s="73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</row>
    <row r="82" spans="1:56" s="138" customFormat="1" ht="18" customHeight="1" thickBot="1">
      <c r="A82" s="636" t="s">
        <v>70</v>
      </c>
      <c r="B82" s="637"/>
      <c r="C82" s="637"/>
      <c r="D82" s="637"/>
      <c r="E82" s="646"/>
      <c r="F82" s="641"/>
      <c r="G82" s="642"/>
      <c r="H82" s="636" t="s">
        <v>71</v>
      </c>
      <c r="I82" s="637"/>
      <c r="J82" s="637"/>
      <c r="K82" s="637"/>
      <c r="L82" s="646"/>
      <c r="M82" s="641"/>
      <c r="N82" s="642"/>
      <c r="O82" s="404"/>
      <c r="P82" s="404"/>
      <c r="Q82" s="638"/>
      <c r="R82" s="638"/>
      <c r="S82" s="638"/>
      <c r="T82" s="638"/>
      <c r="U82" s="404"/>
      <c r="V82" s="404"/>
      <c r="W82" s="638"/>
      <c r="X82" s="638"/>
      <c r="Y82" s="638"/>
      <c r="Z82" s="638"/>
      <c r="AA82" s="638"/>
      <c r="AB82" s="638"/>
      <c r="AC82" s="404"/>
      <c r="AD82" s="73"/>
      <c r="AE82" s="73"/>
      <c r="AF82" s="73"/>
      <c r="AG82" s="73"/>
      <c r="AH82" s="73"/>
      <c r="AI82" s="73"/>
      <c r="AJ82" s="73"/>
      <c r="AK82" s="73"/>
      <c r="AL82" s="292"/>
      <c r="AM82" s="292"/>
      <c r="AN82" s="292"/>
      <c r="AO82" s="293"/>
      <c r="AP82" s="292"/>
      <c r="AQ82" s="73"/>
      <c r="AR82" s="73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</row>
    <row r="83" spans="1:56" s="138" customFormat="1" ht="18" customHeight="1" thickBot="1">
      <c r="B83" s="116"/>
      <c r="C83" s="116"/>
      <c r="D83" s="116"/>
      <c r="E83" s="116"/>
      <c r="F83" s="146" t="str">
        <f>IF(F81&gt;500," LA TENSIÓN DE BASE HA DE SER INFERIOR O IGUAL A 500 V"," ")</f>
        <v xml:space="preserve"> </v>
      </c>
      <c r="G83" s="190" t="str">
        <f>IF(M81&gt;500," LA TENSIÓN MÁXIMA HA DE SER INFERIOR O IGUAL A 500 V"," ")</f>
        <v xml:space="preserve"> </v>
      </c>
      <c r="I83" s="191"/>
      <c r="J83" s="116"/>
      <c r="K83" s="191"/>
      <c r="L83" s="191"/>
      <c r="N83" s="146" t="str">
        <f>IF(M81&lt;F81," LA TENSIÓN MÁXIMA HA DE SER SUPERIOR O IGUAL A LA DE BASE"," ")</f>
        <v xml:space="preserve"> </v>
      </c>
      <c r="O83" s="404"/>
      <c r="P83" s="404"/>
      <c r="Q83" s="404"/>
      <c r="R83" s="404"/>
      <c r="S83" s="404"/>
      <c r="T83" s="404"/>
      <c r="U83" s="404"/>
      <c r="V83" s="404"/>
      <c r="W83" s="404"/>
      <c r="X83" s="404"/>
      <c r="Y83" s="404"/>
      <c r="Z83" s="404"/>
      <c r="AA83" s="404"/>
      <c r="AB83" s="404"/>
      <c r="AC83" s="404"/>
      <c r="AD83" s="73"/>
      <c r="AE83" s="73"/>
      <c r="AF83" s="73"/>
      <c r="AG83" s="73"/>
      <c r="AH83" s="73"/>
      <c r="AI83" s="73"/>
      <c r="AJ83" s="73"/>
      <c r="AK83" s="73"/>
      <c r="AL83" s="292"/>
      <c r="AM83" s="292"/>
      <c r="AN83" s="293"/>
      <c r="AO83" s="292"/>
      <c r="AP83" s="73"/>
      <c r="AQ83" s="73"/>
      <c r="AR83" s="73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</row>
    <row r="84" spans="1:56" s="138" customFormat="1" ht="18" customHeight="1">
      <c r="B84" s="622" t="s">
        <v>72</v>
      </c>
      <c r="C84" s="623"/>
      <c r="D84" s="623"/>
      <c r="E84" s="623"/>
      <c r="F84" s="579" t="str">
        <f>F24</f>
        <v>S1</v>
      </c>
      <c r="G84" s="144"/>
      <c r="H84" s="622" t="str">
        <f>H24</f>
        <v>Servicio / Service  S6 -</v>
      </c>
      <c r="I84" s="623"/>
      <c r="J84" s="623"/>
      <c r="K84" s="623"/>
      <c r="L84" s="647">
        <f>L24</f>
        <v>0.4</v>
      </c>
      <c r="M84" s="192"/>
      <c r="N84" s="146"/>
      <c r="O84" s="404"/>
      <c r="P84" s="404"/>
      <c r="Q84" s="404"/>
      <c r="R84" s="404"/>
      <c r="S84" s="404"/>
      <c r="T84" s="404"/>
      <c r="U84" s="404"/>
      <c r="V84" s="404"/>
      <c r="W84" s="404"/>
      <c r="X84" s="404"/>
      <c r="Y84" s="404"/>
      <c r="Z84" s="404"/>
      <c r="AA84" s="404"/>
      <c r="AB84" s="404"/>
      <c r="AC84" s="404"/>
      <c r="AD84" s="73"/>
      <c r="AE84" s="73"/>
      <c r="AF84" s="73"/>
      <c r="AG84" s="73"/>
      <c r="AH84" s="73"/>
      <c r="AI84" s="73"/>
      <c r="AJ84" s="73"/>
      <c r="AK84" s="73"/>
      <c r="AL84" s="292"/>
      <c r="AM84" s="292"/>
      <c r="AN84" s="293"/>
      <c r="AO84" s="292"/>
      <c r="AP84" s="73"/>
      <c r="AQ84" s="73"/>
      <c r="AR84" s="73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</row>
    <row r="85" spans="1:56" s="138" customFormat="1" ht="18" customHeight="1" thickBot="1">
      <c r="A85" s="107"/>
      <c r="B85" s="624"/>
      <c r="C85" s="625"/>
      <c r="D85" s="625"/>
      <c r="E85" s="625"/>
      <c r="F85" s="580"/>
      <c r="G85" s="147"/>
      <c r="H85" s="624"/>
      <c r="I85" s="625"/>
      <c r="J85" s="625"/>
      <c r="K85" s="625">
        <f>H29</f>
        <v>1032.9767668686852</v>
      </c>
      <c r="L85" s="648">
        <f>L29</f>
        <v>41.534784727845832</v>
      </c>
      <c r="M85" s="193"/>
      <c r="N85" s="85"/>
      <c r="O85" s="404"/>
      <c r="P85" s="404"/>
      <c r="Q85" s="404"/>
      <c r="R85" s="404"/>
      <c r="S85" s="404"/>
      <c r="T85" s="404"/>
      <c r="U85" s="404"/>
      <c r="V85" s="404"/>
      <c r="W85" s="404"/>
      <c r="X85" s="404"/>
      <c r="Y85" s="404"/>
      <c r="Z85" s="404"/>
      <c r="AA85" s="404"/>
      <c r="AB85" s="404"/>
      <c r="AC85" s="404"/>
      <c r="AD85" s="73"/>
      <c r="AE85" s="73"/>
      <c r="AF85" s="73"/>
      <c r="AG85" s="73"/>
      <c r="AH85" s="73"/>
      <c r="AI85" s="73"/>
      <c r="AJ85" s="73"/>
      <c r="AK85" s="73"/>
      <c r="AL85" s="292"/>
      <c r="AM85" s="293"/>
      <c r="AN85" s="292"/>
      <c r="AO85" s="73"/>
      <c r="AP85" s="73"/>
      <c r="AQ85" s="73"/>
      <c r="AR85" s="73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</row>
    <row r="86" spans="1:56" s="138" customFormat="1" ht="105" customHeight="1" thickBot="1">
      <c r="A86" s="194" t="s">
        <v>105</v>
      </c>
      <c r="B86" s="150" t="s">
        <v>76</v>
      </c>
      <c r="C86" s="151" t="s">
        <v>77</v>
      </c>
      <c r="D86" s="150" t="s">
        <v>78</v>
      </c>
      <c r="E86" s="152" t="s">
        <v>79</v>
      </c>
      <c r="F86" s="153" t="s">
        <v>80</v>
      </c>
      <c r="G86" s="151" t="s">
        <v>81</v>
      </c>
      <c r="H86" s="153" t="s">
        <v>76</v>
      </c>
      <c r="I86" s="151" t="s">
        <v>82</v>
      </c>
      <c r="J86" s="150" t="s">
        <v>78</v>
      </c>
      <c r="K86" s="152" t="s">
        <v>79</v>
      </c>
      <c r="L86" s="153" t="s">
        <v>80</v>
      </c>
      <c r="M86" s="151" t="s">
        <v>81</v>
      </c>
      <c r="N86" s="154" t="s">
        <v>83</v>
      </c>
      <c r="O86" s="492" t="s">
        <v>84</v>
      </c>
      <c r="P86" s="492" t="s">
        <v>85</v>
      </c>
      <c r="Q86" s="493" t="s">
        <v>80</v>
      </c>
      <c r="R86" s="494" t="s">
        <v>79</v>
      </c>
      <c r="S86" s="492" t="s">
        <v>86</v>
      </c>
      <c r="T86" s="502"/>
      <c r="U86" s="492" t="s">
        <v>87</v>
      </c>
      <c r="V86" s="492" t="s">
        <v>88</v>
      </c>
      <c r="W86" s="492" t="s">
        <v>89</v>
      </c>
      <c r="X86" s="492" t="s">
        <v>90</v>
      </c>
      <c r="Y86" s="492" t="s">
        <v>91</v>
      </c>
      <c r="Z86" s="492" t="s">
        <v>92</v>
      </c>
      <c r="AA86" s="492" t="s">
        <v>93</v>
      </c>
      <c r="AB86" s="492" t="s">
        <v>94</v>
      </c>
      <c r="AC86" s="492" t="str">
        <f>AC26</f>
        <v>rpm lim s1</v>
      </c>
      <c r="AD86" s="73" t="str">
        <f>AD26</f>
        <v>coef.</v>
      </c>
      <c r="AE86" s="73"/>
      <c r="AF86" s="74"/>
      <c r="AG86" s="74"/>
      <c r="AH86" s="74"/>
      <c r="AI86" s="74"/>
      <c r="AJ86" s="74"/>
      <c r="AK86" s="74"/>
      <c r="AL86" s="74"/>
    </row>
    <row r="87" spans="1:56" s="104" customFormat="1" ht="24.95" customHeight="1" thickBot="1">
      <c r="A87" s="195" t="s">
        <v>242</v>
      </c>
      <c r="B87" s="196">
        <f>VLOOKUP($A$87,$A$27:$Y$40,2,FALSE)</f>
        <v>705</v>
      </c>
      <c r="C87" s="454">
        <f>VLOOKUP($A$87,$A$27:$Y$40,3,FALSE)</f>
        <v>211.95146878333776</v>
      </c>
      <c r="D87" s="455">
        <f>VLOOKUP($A$87,$A$27:$Y$40,4,FALSE)</f>
        <v>113.69423813341461</v>
      </c>
      <c r="E87" s="198">
        <f>VLOOKUP($A$87,$A$27:$Y$40,5,FALSE)</f>
        <v>1540</v>
      </c>
      <c r="F87" s="199">
        <f>VLOOKUP($A$87,$A$27:$Y$40,6,FALSE)</f>
        <v>76</v>
      </c>
      <c r="G87" s="197">
        <f>VLOOKUP($A$87,$A$27:$Y$40,7,FALSE)</f>
        <v>4000</v>
      </c>
      <c r="H87" s="196">
        <f>VLOOKUP($A$87,$A$27:$Y$40,8,FALSE)</f>
        <v>1031.2721553654512</v>
      </c>
      <c r="I87" s="454">
        <f>VLOOKUP($A$87,$A$27:$Y$40,9,FALSE)</f>
        <v>283.65247830639538</v>
      </c>
      <c r="J87" s="455">
        <f>VLOOKUP($A$87,$A$27:$Y$40,10,FALSE)</f>
        <v>166.31163406025442</v>
      </c>
      <c r="K87" s="198">
        <f>VLOOKUP($A$87,$A$27:$Y$40,11,FALSE)</f>
        <v>1540</v>
      </c>
      <c r="L87" s="199">
        <f>VLOOKUP($A$87,$A$27:$Y$40,12,FALSE)</f>
        <v>75.53720261650291</v>
      </c>
      <c r="M87" s="197">
        <f>VLOOKUP($A$87,$A$27:$Y$40,13,FALSE)</f>
        <v>3491.291885986243</v>
      </c>
      <c r="N87" s="456">
        <f>VLOOKUP($A$87,$A$27:$Y$40,14,FALSE)</f>
        <v>117.24327434675257</v>
      </c>
      <c r="O87" s="499">
        <f>VLOOKUP($A$87,$A$27:$Y$40,15,FALSE)</f>
        <v>0.96360897597738915</v>
      </c>
      <c r="P87" s="499">
        <f>VLOOKUP($A$87,$A$27:$Y$40,16,FALSE)</f>
        <v>0.74607458050588471</v>
      </c>
      <c r="Q87" s="496">
        <f>VLOOKUP($A$87,$A$27:$Y$40,17,FALSE)</f>
        <v>76</v>
      </c>
      <c r="R87" s="496">
        <f>VLOOKUP($A$87,$A$27:$Y$40,18,FALSE)</f>
        <v>1540</v>
      </c>
      <c r="S87" s="497">
        <f>VLOOKUP($A$87,$A$27:$Y$40,19,FALSE)</f>
        <v>-20</v>
      </c>
      <c r="T87" s="496"/>
      <c r="U87" s="497">
        <f>VLOOKUP($A$87,$A$27:$Y$40,21,FALSE)</f>
        <v>1031.2721553654512</v>
      </c>
      <c r="V87" s="497">
        <f>VLOOKUP($A$87,$A$27:$Y$40,22,FALSE)</f>
        <v>283.65247830639538</v>
      </c>
      <c r="W87" s="496">
        <f>VLOOKUP($A$87,$A$27:$Y$40,23,FALSE)</f>
        <v>801.90170356764042</v>
      </c>
      <c r="X87" s="496">
        <f>VLOOKUP($A$87,$A$27:$Y$40,24,FALSE)</f>
        <v>3167.3633106771249</v>
      </c>
      <c r="Y87" s="497">
        <f>VLOOKUP($A$87,$A$27:$Y$40,25,FALSE)</f>
        <v>1281.0186476083695</v>
      </c>
      <c r="Z87" s="496">
        <f>VLOOKUP($A$87,$A$27:$AD$40,26,FALSE)</f>
        <v>424.89532379621875</v>
      </c>
      <c r="AA87" s="497">
        <f>VLOOKUP($A$87,$A$27:$AD$40,27,FALSE)</f>
        <v>3491.291885986243</v>
      </c>
      <c r="AB87" s="496">
        <f>VLOOKUP($A$87,$A$27:$AD$40,28,FALSE)</f>
        <v>2264.1709169924034</v>
      </c>
      <c r="AC87" s="499">
        <f>VLOOKUP($A$87,$A$27:$AD$40,29,FALSE)</f>
        <v>5352.8658010427271</v>
      </c>
      <c r="AD87" s="499">
        <f>VLOOKUP($A$87,$A$27:$AD$40,30,FALSE)</f>
        <v>0.89</v>
      </c>
      <c r="AE87" s="102"/>
      <c r="AF87" s="102"/>
      <c r="AG87" s="102"/>
      <c r="AH87" s="102"/>
      <c r="AI87" s="102"/>
      <c r="AJ87" s="102"/>
      <c r="AK87" s="102"/>
      <c r="AL87" s="102"/>
      <c r="AM87" s="102"/>
      <c r="AN87" s="102"/>
      <c r="AO87" s="102"/>
      <c r="AP87" s="102"/>
      <c r="AQ87" s="102"/>
      <c r="AR87" s="102"/>
      <c r="AS87" s="102"/>
      <c r="AT87" s="102"/>
      <c r="AU87" s="102"/>
      <c r="AV87" s="102"/>
      <c r="AW87" s="102"/>
      <c r="AX87" s="102"/>
      <c r="AY87" s="102"/>
      <c r="AZ87" s="102"/>
      <c r="BA87" s="101"/>
      <c r="BB87" s="101"/>
      <c r="BC87" s="101"/>
      <c r="BD87" s="101"/>
    </row>
    <row r="88" spans="1:56" ht="19.5" customHeight="1" thickBot="1">
      <c r="A88" s="200" t="str">
        <f>IF(O87=0,"ESTE BOBINADO NO EXISTE   /   THIS WINDING DOESN'T EXIST","")</f>
        <v/>
      </c>
      <c r="B88" s="201"/>
      <c r="C88" s="201"/>
      <c r="D88" s="201"/>
      <c r="E88" s="201"/>
      <c r="F88" s="201"/>
      <c r="G88" s="201"/>
      <c r="H88" s="201"/>
      <c r="I88" s="201"/>
      <c r="J88" s="201"/>
      <c r="K88" s="201"/>
      <c r="L88" s="201"/>
      <c r="M88" s="201"/>
      <c r="N88" s="201"/>
      <c r="O88" s="522"/>
      <c r="P88" s="523"/>
      <c r="Q88" s="523"/>
      <c r="R88" s="524"/>
      <c r="S88" s="525"/>
      <c r="T88" s="526"/>
      <c r="U88" s="527"/>
      <c r="V88" s="527"/>
      <c r="W88" s="527"/>
      <c r="X88" s="526"/>
      <c r="Y88" s="526"/>
      <c r="Z88" s="526"/>
      <c r="AA88" s="526"/>
      <c r="AB88" s="73"/>
      <c r="AC88" s="73"/>
      <c r="AD88" s="73"/>
      <c r="AE88" s="73"/>
      <c r="AF88" s="73"/>
      <c r="AG88" s="73"/>
      <c r="AS88" s="205"/>
      <c r="AT88" s="205"/>
      <c r="AU88" s="205"/>
      <c r="AV88" s="205"/>
      <c r="AW88" s="205"/>
      <c r="AX88" s="205"/>
      <c r="AY88" s="205"/>
      <c r="AZ88" s="205"/>
      <c r="BA88" s="417"/>
      <c r="BB88" s="417"/>
      <c r="BC88" s="417"/>
      <c r="BD88" s="417"/>
    </row>
    <row r="89" spans="1:56" ht="15" customHeight="1">
      <c r="A89" s="681" t="s">
        <v>106</v>
      </c>
      <c r="B89" s="682"/>
      <c r="C89" s="683"/>
      <c r="D89" s="201"/>
      <c r="E89" s="201"/>
      <c r="F89" s="201"/>
      <c r="G89" s="201"/>
      <c r="H89" s="201"/>
      <c r="I89" s="201"/>
      <c r="J89" s="201"/>
      <c r="K89" s="201"/>
      <c r="L89" s="201"/>
      <c r="M89" s="201"/>
      <c r="N89" s="201"/>
      <c r="O89" s="528"/>
      <c r="P89" s="523"/>
      <c r="Q89" s="523"/>
      <c r="R89" s="523"/>
      <c r="S89" s="525"/>
      <c r="T89" s="526"/>
      <c r="U89" s="527"/>
      <c r="V89" s="527"/>
      <c r="W89" s="527"/>
      <c r="X89" s="526"/>
      <c r="Y89" s="526"/>
      <c r="Z89" s="526"/>
      <c r="AA89" s="526"/>
      <c r="AB89" s="73"/>
      <c r="AC89" s="73"/>
    </row>
    <row r="90" spans="1:56" ht="15" customHeight="1" thickBot="1">
      <c r="A90" s="684"/>
      <c r="B90" s="685"/>
      <c r="C90" s="686"/>
      <c r="D90" s="201"/>
      <c r="E90" s="201"/>
      <c r="F90" s="201"/>
      <c r="G90" s="201"/>
      <c r="H90" s="201"/>
      <c r="I90" s="201"/>
      <c r="J90" s="201"/>
      <c r="K90" s="201"/>
      <c r="L90" s="201"/>
      <c r="M90" s="201"/>
      <c r="N90" s="201"/>
      <c r="O90" s="529"/>
      <c r="P90" s="530"/>
      <c r="Q90" s="530"/>
      <c r="R90" s="531"/>
      <c r="S90" s="525"/>
      <c r="T90" s="526"/>
      <c r="U90" s="527"/>
      <c r="V90" s="527"/>
      <c r="W90" s="527"/>
      <c r="X90" s="526"/>
      <c r="Y90" s="526"/>
      <c r="Z90" s="526"/>
      <c r="AA90" s="526"/>
      <c r="AB90" s="73"/>
      <c r="AC90" s="73"/>
    </row>
    <row r="91" spans="1:56" ht="15" customHeight="1" thickBot="1">
      <c r="A91" s="370" t="s">
        <v>79</v>
      </c>
      <c r="B91" s="370" t="s">
        <v>107</v>
      </c>
      <c r="C91" s="370" t="s">
        <v>108</v>
      </c>
      <c r="D91" s="201"/>
      <c r="E91" s="201"/>
      <c r="F91" s="201"/>
      <c r="G91" s="201"/>
      <c r="H91" s="201"/>
      <c r="I91" s="201"/>
      <c r="J91" s="201"/>
      <c r="K91" s="201"/>
      <c r="L91" s="201"/>
      <c r="M91" s="201"/>
      <c r="N91" s="201"/>
      <c r="O91" s="529"/>
      <c r="P91" s="522"/>
      <c r="Q91" s="522"/>
      <c r="R91" s="532"/>
      <c r="S91" s="525"/>
      <c r="T91" s="526"/>
      <c r="U91" s="527"/>
      <c r="V91" s="527"/>
      <c r="W91" s="527"/>
      <c r="X91" s="526"/>
      <c r="Y91" s="526"/>
      <c r="Z91" s="526"/>
      <c r="AA91" s="526"/>
      <c r="AB91" s="73"/>
      <c r="AC91" s="73"/>
    </row>
    <row r="92" spans="1:56" ht="15" customHeight="1">
      <c r="A92" s="371"/>
      <c r="B92" s="372"/>
      <c r="C92" s="373"/>
      <c r="D92" s="201"/>
      <c r="E92" s="201"/>
      <c r="F92" s="201"/>
      <c r="G92" s="201"/>
      <c r="H92" s="201"/>
      <c r="I92" s="201"/>
      <c r="J92" s="201"/>
      <c r="K92" s="201"/>
      <c r="L92" s="201"/>
      <c r="M92" s="201"/>
      <c r="N92" s="201"/>
      <c r="O92" s="529"/>
      <c r="P92" s="522"/>
      <c r="Q92" s="522"/>
      <c r="R92" s="532"/>
      <c r="S92" s="525"/>
      <c r="T92" s="526"/>
      <c r="U92" s="527"/>
      <c r="V92" s="527"/>
      <c r="W92" s="527"/>
      <c r="X92" s="526"/>
      <c r="Y92" s="526"/>
      <c r="Z92" s="526"/>
      <c r="AA92" s="526"/>
      <c r="AB92" s="73"/>
      <c r="AC92" s="73"/>
    </row>
    <row r="93" spans="1:56" ht="15" customHeight="1">
      <c r="A93" s="374"/>
      <c r="B93" s="375"/>
      <c r="C93" s="376"/>
      <c r="D93" s="201"/>
      <c r="E93" s="201"/>
      <c r="F93" s="201"/>
      <c r="G93" s="201"/>
      <c r="H93" s="201"/>
      <c r="I93" s="201"/>
      <c r="J93" s="201"/>
      <c r="K93" s="201"/>
      <c r="L93" s="201"/>
      <c r="M93" s="201"/>
      <c r="N93" s="201"/>
      <c r="O93" s="529"/>
      <c r="P93" s="522"/>
      <c r="Q93" s="522"/>
      <c r="R93" s="531"/>
      <c r="S93" s="525"/>
      <c r="T93" s="526"/>
      <c r="U93" s="527"/>
      <c r="V93" s="527"/>
      <c r="W93" s="527"/>
      <c r="X93" s="526"/>
      <c r="Y93" s="526"/>
      <c r="Z93" s="526"/>
      <c r="AA93" s="526"/>
      <c r="AB93" s="73"/>
      <c r="AC93" s="73"/>
    </row>
    <row r="94" spans="1:56" ht="15" customHeight="1">
      <c r="A94" s="374"/>
      <c r="B94" s="375"/>
      <c r="C94" s="376"/>
      <c r="D94" s="201"/>
      <c r="E94" s="201"/>
      <c r="F94" s="201"/>
      <c r="G94" s="201"/>
      <c r="H94" s="201"/>
      <c r="I94" s="201"/>
      <c r="J94" s="201"/>
      <c r="K94" s="201"/>
      <c r="L94" s="201"/>
      <c r="M94" s="201"/>
      <c r="O94" s="529"/>
      <c r="P94" s="530"/>
      <c r="Q94" s="533"/>
      <c r="R94" s="534"/>
      <c r="S94" s="525"/>
      <c r="T94" s="526"/>
      <c r="U94" s="527"/>
      <c r="V94" s="527"/>
      <c r="W94" s="535"/>
      <c r="X94" s="526"/>
      <c r="Y94" s="526"/>
      <c r="Z94" s="526"/>
      <c r="AA94" s="526"/>
      <c r="AB94" s="73"/>
      <c r="AC94" s="73"/>
    </row>
    <row r="95" spans="1:56" ht="15" customHeight="1">
      <c r="A95" s="374"/>
      <c r="B95" s="375"/>
      <c r="C95" s="376"/>
      <c r="D95" s="76"/>
      <c r="F95" s="76"/>
      <c r="I95" s="76"/>
      <c r="J95" s="76"/>
      <c r="L95" s="76"/>
      <c r="N95" s="202"/>
      <c r="O95" s="529"/>
      <c r="P95" s="533"/>
      <c r="Q95" s="534"/>
      <c r="R95" s="534"/>
      <c r="S95" s="525"/>
      <c r="T95" s="526"/>
      <c r="U95" s="527"/>
      <c r="V95" s="527"/>
      <c r="W95" s="527"/>
      <c r="X95" s="526"/>
      <c r="Y95" s="526"/>
      <c r="Z95" s="526"/>
      <c r="AA95" s="526"/>
      <c r="AB95" s="73"/>
      <c r="AC95" s="73"/>
    </row>
    <row r="96" spans="1:56" ht="15" customHeight="1">
      <c r="A96" s="374"/>
      <c r="B96" s="375"/>
      <c r="C96" s="376"/>
      <c r="D96" s="202"/>
      <c r="E96" s="202"/>
      <c r="F96" s="202"/>
      <c r="G96" s="202"/>
      <c r="H96" s="202"/>
      <c r="I96" s="202"/>
      <c r="J96" s="202"/>
      <c r="K96" s="202"/>
      <c r="L96" s="202"/>
      <c r="M96" s="202"/>
      <c r="O96" s="529"/>
      <c r="P96" s="522"/>
      <c r="Q96" s="531"/>
      <c r="R96" s="536"/>
      <c r="S96" s="525"/>
      <c r="T96" s="526"/>
      <c r="U96" s="526"/>
      <c r="V96" s="526"/>
      <c r="W96" s="527"/>
      <c r="X96" s="526"/>
      <c r="Y96" s="526"/>
      <c r="Z96" s="526"/>
      <c r="AA96" s="526"/>
      <c r="AB96" s="73"/>
      <c r="AC96" s="73"/>
    </row>
    <row r="97" spans="1:33" ht="15" customHeight="1">
      <c r="A97" s="374"/>
      <c r="B97" s="375"/>
      <c r="C97" s="376"/>
      <c r="D97" s="76"/>
      <c r="F97" s="76"/>
      <c r="I97" s="76"/>
      <c r="J97" s="76"/>
      <c r="L97" s="76"/>
      <c r="O97" s="537"/>
      <c r="P97" s="534"/>
      <c r="Q97" s="529"/>
      <c r="R97" s="538"/>
      <c r="S97" s="526"/>
      <c r="T97" s="526"/>
      <c r="U97" s="526"/>
      <c r="V97" s="526"/>
      <c r="W97" s="527"/>
      <c r="X97" s="526"/>
      <c r="Y97" s="526"/>
      <c r="Z97" s="526"/>
      <c r="AA97" s="526"/>
      <c r="AB97" s="73"/>
      <c r="AC97" s="73"/>
    </row>
    <row r="98" spans="1:33" ht="15" customHeight="1">
      <c r="A98" s="374"/>
      <c r="B98" s="375"/>
      <c r="C98" s="376"/>
      <c r="D98" s="76"/>
      <c r="F98" s="76"/>
      <c r="I98" s="76"/>
      <c r="J98" s="76"/>
      <c r="L98" s="76"/>
      <c r="O98" s="522"/>
      <c r="P98" s="522"/>
      <c r="Q98" s="530"/>
      <c r="R98" s="539"/>
      <c r="S98" s="540"/>
      <c r="T98" s="541"/>
      <c r="U98" s="539"/>
      <c r="V98" s="539"/>
      <c r="W98" s="527"/>
      <c r="X98" s="526"/>
      <c r="Y98" s="526"/>
      <c r="Z98" s="526"/>
      <c r="AA98" s="526"/>
      <c r="AB98" s="73"/>
      <c r="AC98" s="73"/>
    </row>
    <row r="99" spans="1:33" ht="15" customHeight="1">
      <c r="A99" s="374"/>
      <c r="B99" s="375"/>
      <c r="C99" s="376"/>
      <c r="D99" s="76"/>
      <c r="F99" s="76"/>
      <c r="I99" s="76"/>
      <c r="J99" s="76"/>
      <c r="L99" s="76"/>
      <c r="O99" s="526"/>
      <c r="P99" s="73" t="s">
        <v>109</v>
      </c>
      <c r="Q99" s="73" t="s">
        <v>261</v>
      </c>
      <c r="R99" s="73" t="s">
        <v>110</v>
      </c>
      <c r="S99" s="73" t="s">
        <v>111</v>
      </c>
      <c r="T99" s="73" t="s">
        <v>112</v>
      </c>
      <c r="U99" s="73" t="s">
        <v>87</v>
      </c>
      <c r="V99" s="73" t="s">
        <v>113</v>
      </c>
      <c r="W99" s="501" t="s">
        <v>114</v>
      </c>
      <c r="X99" s="73" t="s">
        <v>115</v>
      </c>
      <c r="Y99" s="73"/>
      <c r="Z99" s="73"/>
      <c r="AA99" s="526"/>
      <c r="AB99" s="73"/>
      <c r="AC99" s="73"/>
    </row>
    <row r="100" spans="1:33" ht="15" customHeight="1">
      <c r="A100" s="374"/>
      <c r="B100" s="375"/>
      <c r="C100" s="376"/>
      <c r="D100" s="76"/>
      <c r="F100" s="76"/>
      <c r="I100" s="76"/>
      <c r="J100" s="76"/>
      <c r="L100" s="76"/>
      <c r="O100" s="526"/>
      <c r="P100" s="498">
        <v>10</v>
      </c>
      <c r="Q100" s="500">
        <f>IF($D$87&lt;W100*0.9,$D$87,W100*0.9)</f>
        <v>0.20006480869007753</v>
      </c>
      <c r="R100" s="500">
        <f>B87</f>
        <v>705</v>
      </c>
      <c r="S100" s="498">
        <f>P100</f>
        <v>10</v>
      </c>
      <c r="T100" s="500">
        <f>U100*V100*PI()/30000</f>
        <v>1.0799456757159378</v>
      </c>
      <c r="U100" s="500">
        <f>H87</f>
        <v>1031.2721553654512</v>
      </c>
      <c r="V100" s="498">
        <f>P100</f>
        <v>10</v>
      </c>
      <c r="W100" s="498">
        <f>X100*V100*PI()/30000</f>
        <v>0.22229423187786393</v>
      </c>
      <c r="X100" s="500">
        <v>212.27535494506813</v>
      </c>
      <c r="Y100" s="73"/>
      <c r="Z100" s="73"/>
      <c r="AA100" s="526"/>
      <c r="AB100" s="73"/>
      <c r="AC100" s="73"/>
    </row>
    <row r="101" spans="1:33" ht="15" customHeight="1">
      <c r="A101" s="374"/>
      <c r="B101" s="375"/>
      <c r="C101" s="376"/>
      <c r="D101" s="76"/>
      <c r="F101" s="76"/>
      <c r="I101" s="76"/>
      <c r="J101" s="76"/>
      <c r="L101" s="76"/>
      <c r="O101" s="526"/>
      <c r="P101" s="498">
        <f>E87</f>
        <v>1540</v>
      </c>
      <c r="Q101" s="500">
        <f>R101*P101*PI()/30000</f>
        <v>113.69423813341461</v>
      </c>
      <c r="R101" s="500">
        <f>B87</f>
        <v>705</v>
      </c>
      <c r="S101" s="498">
        <f>K87</f>
        <v>1540</v>
      </c>
      <c r="T101" s="500">
        <f>U101*S101*PI()/30000</f>
        <v>166.31163406025442</v>
      </c>
      <c r="U101" s="500">
        <f>H87</f>
        <v>1031.2721553654512</v>
      </c>
      <c r="V101" s="498">
        <f>Y87</f>
        <v>1281.0186476083695</v>
      </c>
      <c r="W101" s="498">
        <f t="shared" ref="W101:W131" si="22">X101*V101*PI()/30000</f>
        <v>28.476305629132256</v>
      </c>
      <c r="X101" s="500">
        <f>X100</f>
        <v>212.27535494506813</v>
      </c>
      <c r="Y101" s="73"/>
      <c r="Z101" s="73"/>
      <c r="AA101" s="526"/>
      <c r="AB101" s="73"/>
      <c r="AC101" s="73"/>
    </row>
    <row r="102" spans="1:33" ht="15" customHeight="1">
      <c r="A102" s="374"/>
      <c r="B102" s="375"/>
      <c r="C102" s="376"/>
      <c r="D102" s="76"/>
      <c r="F102" s="76"/>
      <c r="I102" s="76"/>
      <c r="J102" s="76"/>
      <c r="L102" s="76"/>
      <c r="O102" s="526"/>
      <c r="P102" s="498">
        <f>P101</f>
        <v>1540</v>
      </c>
      <c r="Q102" s="500">
        <f>R102*P102*PI()/30000</f>
        <v>113.69423813341461</v>
      </c>
      <c r="R102" s="500">
        <f t="shared" ref="R102:R111" si="23">R101*P101/P102</f>
        <v>705</v>
      </c>
      <c r="S102" s="498">
        <f>S101</f>
        <v>1540</v>
      </c>
      <c r="T102" s="500">
        <f>U102*S102*PI()/30000</f>
        <v>166.31163406025442</v>
      </c>
      <c r="U102" s="500">
        <f t="shared" ref="U102:U111" si="24">U101*S101/S102</f>
        <v>1031.2721553654512</v>
      </c>
      <c r="V102" s="498">
        <f>V101</f>
        <v>1281.0186476083695</v>
      </c>
      <c r="W102" s="498">
        <f t="shared" si="22"/>
        <v>28.476305629132256</v>
      </c>
      <c r="X102" s="500">
        <f>X101</f>
        <v>212.27535494506813</v>
      </c>
      <c r="Y102" s="73"/>
      <c r="Z102" s="73"/>
      <c r="AA102" s="526"/>
      <c r="AB102" s="73"/>
      <c r="AC102" s="73"/>
    </row>
    <row r="103" spans="1:33" ht="15" customHeight="1">
      <c r="A103" s="374"/>
      <c r="B103" s="375"/>
      <c r="C103" s="376"/>
      <c r="D103" s="76"/>
      <c r="F103" s="76"/>
      <c r="I103" s="76"/>
      <c r="J103" s="76"/>
      <c r="L103" s="76"/>
      <c r="O103" s="526"/>
      <c r="P103" s="498">
        <f>P102+($P$112-$P$102)/10</f>
        <v>1786</v>
      </c>
      <c r="Q103" s="500">
        <f t="shared" ref="Q103:Q111" si="25">R103*P103*PI()/30000</f>
        <v>113.69423813341461</v>
      </c>
      <c r="R103" s="500">
        <f t="shared" si="23"/>
        <v>607.89473684210532</v>
      </c>
      <c r="S103" s="498">
        <f t="shared" ref="S103:S110" si="26">S102+($S$112-$S$102)/10</f>
        <v>1735.1291885986243</v>
      </c>
      <c r="T103" s="500">
        <f t="shared" ref="T103:T111" si="27">U103*S103*PI()/30000</f>
        <v>166.31163406025442</v>
      </c>
      <c r="U103" s="500">
        <f t="shared" si="24"/>
        <v>915.29733330431168</v>
      </c>
      <c r="V103" s="498">
        <f t="shared" ref="V103:V131" si="28">IF(V102*1.1&gt;MIN($L$13,$D$112),MIN($L$13,$D$112),V102*1.1)</f>
        <v>1409.1205123692066</v>
      </c>
      <c r="W103" s="498">
        <f t="shared" si="22"/>
        <v>26.160386475955953</v>
      </c>
      <c r="X103" s="500">
        <f t="shared" ref="X103:X130" si="29">X102*(V102/V103)^(1+$AD$87)</f>
        <v>177.28312593402327</v>
      </c>
      <c r="Y103" s="73"/>
      <c r="Z103" s="73"/>
      <c r="AA103" s="526"/>
      <c r="AB103" s="73"/>
      <c r="AC103" s="73"/>
    </row>
    <row r="104" spans="1:33" ht="15" customHeight="1">
      <c r="A104" s="374"/>
      <c r="B104" s="375"/>
      <c r="C104" s="376"/>
      <c r="D104" s="76"/>
      <c r="F104" s="76"/>
      <c r="I104" s="76"/>
      <c r="J104" s="76"/>
      <c r="L104" s="76"/>
      <c r="O104" s="526"/>
      <c r="P104" s="498">
        <f t="shared" ref="P104:P111" si="30">P103+($P$112-$P$102)/10</f>
        <v>2032</v>
      </c>
      <c r="Q104" s="500">
        <f t="shared" si="25"/>
        <v>113.69423813341461</v>
      </c>
      <c r="R104" s="500">
        <f t="shared" si="23"/>
        <v>534.30118110236219</v>
      </c>
      <c r="S104" s="498">
        <f t="shared" si="26"/>
        <v>1930.2583771972486</v>
      </c>
      <c r="T104" s="500">
        <f t="shared" si="27"/>
        <v>166.31163406025442</v>
      </c>
      <c r="U104" s="500">
        <f t="shared" si="24"/>
        <v>822.77022497310202</v>
      </c>
      <c r="V104" s="498">
        <f t="shared" si="28"/>
        <v>1550.0325636061275</v>
      </c>
      <c r="W104" s="498">
        <f t="shared" si="22"/>
        <v>24.032816246755292</v>
      </c>
      <c r="X104" s="500">
        <f t="shared" si="29"/>
        <v>148.05914115216964</v>
      </c>
      <c r="Y104" s="73"/>
      <c r="Z104" s="73"/>
      <c r="AA104" s="526"/>
      <c r="AB104" s="73"/>
      <c r="AC104" s="73"/>
    </row>
    <row r="105" spans="1:33" ht="15" customHeight="1">
      <c r="A105" s="374"/>
      <c r="B105" s="375"/>
      <c r="C105" s="376"/>
      <c r="D105" s="76"/>
      <c r="F105" s="76"/>
      <c r="I105" s="76"/>
      <c r="J105" s="76"/>
      <c r="L105" s="76"/>
      <c r="O105" s="526"/>
      <c r="P105" s="498">
        <f t="shared" si="30"/>
        <v>2278</v>
      </c>
      <c r="Q105" s="500">
        <f t="shared" si="25"/>
        <v>113.69423813341461</v>
      </c>
      <c r="R105" s="500">
        <f t="shared" si="23"/>
        <v>476.60228270412642</v>
      </c>
      <c r="S105" s="498">
        <f t="shared" si="26"/>
        <v>2125.3875657958729</v>
      </c>
      <c r="T105" s="500">
        <f t="shared" si="27"/>
        <v>166.31163406025442</v>
      </c>
      <c r="U105" s="500">
        <f t="shared" si="24"/>
        <v>747.23271408059293</v>
      </c>
      <c r="V105" s="498">
        <f t="shared" si="28"/>
        <v>1705.0358199667403</v>
      </c>
      <c r="W105" s="498">
        <f t="shared" si="22"/>
        <v>22.078276912352059</v>
      </c>
      <c r="X105" s="500">
        <f t="shared" si="29"/>
        <v>123.65254258251451</v>
      </c>
      <c r="Y105" s="73"/>
      <c r="Z105" s="73"/>
      <c r="AA105" s="526"/>
      <c r="AB105" s="73"/>
      <c r="AC105" s="73"/>
    </row>
    <row r="106" spans="1:33" ht="15" customHeight="1">
      <c r="A106" s="374"/>
      <c r="B106" s="375"/>
      <c r="C106" s="376"/>
      <c r="D106" s="76"/>
      <c r="F106" s="76"/>
      <c r="I106" s="76"/>
      <c r="J106" s="76"/>
      <c r="L106" s="76"/>
      <c r="N106" s="92"/>
      <c r="O106" s="526"/>
      <c r="P106" s="498">
        <f t="shared" si="30"/>
        <v>2524</v>
      </c>
      <c r="Q106" s="500">
        <f t="shared" si="25"/>
        <v>113.69423813341461</v>
      </c>
      <c r="R106" s="500">
        <f t="shared" si="23"/>
        <v>430.15055467511888</v>
      </c>
      <c r="S106" s="498">
        <f t="shared" si="26"/>
        <v>2320.5167543944972</v>
      </c>
      <c r="T106" s="500">
        <f t="shared" si="27"/>
        <v>166.31163406025442</v>
      </c>
      <c r="U106" s="500">
        <f t="shared" si="24"/>
        <v>684.39890220796985</v>
      </c>
      <c r="V106" s="498">
        <f t="shared" si="28"/>
        <v>1875.5394019634145</v>
      </c>
      <c r="W106" s="498">
        <f t="shared" si="22"/>
        <v>20.282696227260061</v>
      </c>
      <c r="X106" s="500">
        <f t="shared" si="29"/>
        <v>103.26921504566965</v>
      </c>
      <c r="Y106" s="73"/>
      <c r="Z106" s="73"/>
      <c r="AA106" s="526"/>
      <c r="AB106" s="73"/>
      <c r="AC106" s="73"/>
    </row>
    <row r="107" spans="1:33" ht="15" customHeight="1">
      <c r="A107" s="374"/>
      <c r="B107" s="375"/>
      <c r="C107" s="376"/>
      <c r="D107" s="76"/>
      <c r="F107" s="76"/>
      <c r="I107" s="76"/>
      <c r="J107" s="76"/>
      <c r="L107" s="76"/>
      <c r="N107" s="92"/>
      <c r="O107" s="526"/>
      <c r="P107" s="498">
        <f t="shared" si="30"/>
        <v>2770</v>
      </c>
      <c r="Q107" s="500">
        <f t="shared" si="25"/>
        <v>113.69423813341461</v>
      </c>
      <c r="R107" s="500">
        <f t="shared" si="23"/>
        <v>391.94945848375454</v>
      </c>
      <c r="S107" s="498">
        <f t="shared" si="26"/>
        <v>2515.6459429931215</v>
      </c>
      <c r="T107" s="500">
        <f t="shared" si="27"/>
        <v>166.31163406025442</v>
      </c>
      <c r="U107" s="500">
        <f t="shared" si="24"/>
        <v>631.31265498085133</v>
      </c>
      <c r="V107" s="498">
        <f t="shared" si="28"/>
        <v>2063.093342159756</v>
      </c>
      <c r="W107" s="498">
        <f t="shared" si="22"/>
        <v>18.633146412669181</v>
      </c>
      <c r="X107" s="500">
        <f t="shared" si="29"/>
        <v>86.245948149689056</v>
      </c>
      <c r="Y107" s="73"/>
      <c r="Z107" s="73"/>
      <c r="AA107" s="526"/>
      <c r="AB107" s="73"/>
      <c r="AC107" s="73"/>
    </row>
    <row r="108" spans="1:33" ht="15" customHeight="1">
      <c r="A108" s="374"/>
      <c r="B108" s="375"/>
      <c r="C108" s="376"/>
      <c r="D108" s="76"/>
      <c r="F108" s="76"/>
      <c r="I108" s="76"/>
      <c r="J108" s="76"/>
      <c r="L108" s="76"/>
      <c r="O108" s="526"/>
      <c r="P108" s="498">
        <f t="shared" si="30"/>
        <v>3016</v>
      </c>
      <c r="Q108" s="500">
        <f t="shared" si="25"/>
        <v>113.69423813341461</v>
      </c>
      <c r="R108" s="500">
        <f t="shared" si="23"/>
        <v>359.98010610079575</v>
      </c>
      <c r="S108" s="498">
        <f t="shared" si="26"/>
        <v>2710.7751315917458</v>
      </c>
      <c r="T108" s="500">
        <f t="shared" si="27"/>
        <v>166.31163406025442</v>
      </c>
      <c r="U108" s="500">
        <f t="shared" si="24"/>
        <v>585.8690013620718</v>
      </c>
      <c r="V108" s="498">
        <f t="shared" si="28"/>
        <v>2269.402676375732</v>
      </c>
      <c r="W108" s="498">
        <f t="shared" si="22"/>
        <v>17.117751079333097</v>
      </c>
      <c r="X108" s="500">
        <f t="shared" si="29"/>
        <v>72.028857476541475</v>
      </c>
      <c r="Y108" s="73"/>
      <c r="Z108" s="73"/>
      <c r="AA108" s="526"/>
      <c r="AB108" s="73"/>
      <c r="AC108" s="73"/>
    </row>
    <row r="109" spans="1:33" ht="15" customHeight="1">
      <c r="A109" s="374"/>
      <c r="B109" s="375"/>
      <c r="C109" s="376"/>
      <c r="D109" s="76"/>
      <c r="F109" s="76"/>
      <c r="I109" s="76"/>
      <c r="J109" s="76"/>
      <c r="L109" s="76"/>
      <c r="O109" s="526"/>
      <c r="P109" s="498">
        <f t="shared" si="30"/>
        <v>3262</v>
      </c>
      <c r="Q109" s="500">
        <f t="shared" si="25"/>
        <v>113.69423813341461</v>
      </c>
      <c r="R109" s="500">
        <f t="shared" si="23"/>
        <v>332.83261802575106</v>
      </c>
      <c r="S109" s="498">
        <f t="shared" si="26"/>
        <v>2905.9043201903701</v>
      </c>
      <c r="T109" s="500">
        <f t="shared" si="27"/>
        <v>166.31163406025442</v>
      </c>
      <c r="U109" s="500">
        <f t="shared" si="24"/>
        <v>546.5283589098874</v>
      </c>
      <c r="V109" s="498">
        <f t="shared" si="28"/>
        <v>2496.3429440133054</v>
      </c>
      <c r="W109" s="498">
        <f t="shared" si="22"/>
        <v>15.725599720226482</v>
      </c>
      <c r="X109" s="500">
        <f t="shared" si="29"/>
        <v>60.155362897412004</v>
      </c>
      <c r="Y109" s="73"/>
      <c r="Z109" s="73"/>
      <c r="AA109" s="526"/>
      <c r="AB109" s="73"/>
      <c r="AC109" s="73"/>
    </row>
    <row r="110" spans="1:33" ht="15" customHeight="1">
      <c r="A110" s="374"/>
      <c r="B110" s="375"/>
      <c r="C110" s="376"/>
      <c r="D110" s="76"/>
      <c r="F110" s="76"/>
      <c r="I110" s="76"/>
      <c r="J110" s="76"/>
      <c r="L110" s="76"/>
      <c r="O110" s="526"/>
      <c r="P110" s="498">
        <f t="shared" si="30"/>
        <v>3508</v>
      </c>
      <c r="Q110" s="500">
        <f t="shared" si="25"/>
        <v>113.69423813341461</v>
      </c>
      <c r="R110" s="500">
        <f t="shared" si="23"/>
        <v>309.49258836944125</v>
      </c>
      <c r="S110" s="498">
        <f t="shared" si="26"/>
        <v>3101.0335087889944</v>
      </c>
      <c r="T110" s="500">
        <f t="shared" si="27"/>
        <v>166.31163406025442</v>
      </c>
      <c r="U110" s="500">
        <f t="shared" si="24"/>
        <v>512.13865144043473</v>
      </c>
      <c r="V110" s="498">
        <f t="shared" si="28"/>
        <v>2745.9772384146363</v>
      </c>
      <c r="W110" s="498">
        <f t="shared" si="22"/>
        <v>14.446669157337789</v>
      </c>
      <c r="X110" s="500">
        <f t="shared" si="29"/>
        <v>50.239137646989178</v>
      </c>
      <c r="Y110" s="73"/>
      <c r="Z110" s="73"/>
      <c r="AA110" s="526"/>
      <c r="AB110" s="73"/>
      <c r="AC110" s="73"/>
    </row>
    <row r="111" spans="1:33" ht="15" customHeight="1" thickBot="1">
      <c r="A111" s="377"/>
      <c r="B111" s="378"/>
      <c r="C111" s="379"/>
      <c r="D111" s="76"/>
      <c r="F111" s="76"/>
      <c r="I111" s="76"/>
      <c r="J111" s="76"/>
      <c r="L111" s="76"/>
      <c r="O111" s="526"/>
      <c r="P111" s="498">
        <f t="shared" si="30"/>
        <v>3754</v>
      </c>
      <c r="Q111" s="500">
        <f t="shared" si="25"/>
        <v>113.69423813341461</v>
      </c>
      <c r="R111" s="500">
        <f t="shared" si="23"/>
        <v>289.21150772509321</v>
      </c>
      <c r="S111" s="498">
        <f>S110+($S$112-$S$102)/10</f>
        <v>3296.1626973876187</v>
      </c>
      <c r="T111" s="500">
        <f t="shared" si="27"/>
        <v>166.31163406025442</v>
      </c>
      <c r="U111" s="500">
        <f t="shared" si="24"/>
        <v>481.82060931685629</v>
      </c>
      <c r="V111" s="498">
        <f t="shared" si="28"/>
        <v>3020.5749622561002</v>
      </c>
      <c r="W111" s="498">
        <f t="shared" si="22"/>
        <v>13.271751377032329</v>
      </c>
      <c r="X111" s="500">
        <f t="shared" si="29"/>
        <v>41.957538446197482</v>
      </c>
      <c r="Y111" s="73"/>
      <c r="Z111" s="73"/>
      <c r="AA111" s="526"/>
      <c r="AB111" s="73"/>
      <c r="AC111" s="73"/>
    </row>
    <row r="112" spans="1:33" ht="22.5" customHeight="1" thickBot="1">
      <c r="A112" s="426" t="s">
        <v>220</v>
      </c>
      <c r="B112" s="95" t="s">
        <v>219</v>
      </c>
      <c r="C112" s="369">
        <v>4</v>
      </c>
      <c r="D112" s="205">
        <f>TRUNC(E87*C112,-1)</f>
        <v>6160</v>
      </c>
      <c r="F112" s="76"/>
      <c r="I112" s="76"/>
      <c r="J112" s="76"/>
      <c r="L112" s="76"/>
      <c r="O112" s="526"/>
      <c r="P112" s="498">
        <f>IF(G87&gt;E87*C112,E87*C112,G87)</f>
        <v>4000</v>
      </c>
      <c r="Q112" s="500">
        <f>R112*P112*PI()/30000</f>
        <v>113.69423813341461</v>
      </c>
      <c r="R112" s="500">
        <f>R106*P106/P112</f>
        <v>271.42500000000001</v>
      </c>
      <c r="S112" s="498">
        <f>M87</f>
        <v>3491.291885986243</v>
      </c>
      <c r="T112" s="500">
        <f>U112*S112*PI()/30000</f>
        <v>166.31163406025442</v>
      </c>
      <c r="U112" s="500">
        <f>U106*S106/S112</f>
        <v>454.89153331393874</v>
      </c>
      <c r="V112" s="498">
        <f t="shared" si="28"/>
        <v>3322.6324584817103</v>
      </c>
      <c r="W112" s="498">
        <f t="shared" si="22"/>
        <v>12.192387234416197</v>
      </c>
      <c r="X112" s="500">
        <f t="shared" si="29"/>
        <v>35.041107688472479</v>
      </c>
      <c r="Y112" s="73"/>
      <c r="Z112" s="73">
        <v>4000</v>
      </c>
      <c r="AA112" s="526"/>
      <c r="AB112" s="73"/>
      <c r="AC112" s="73"/>
      <c r="AD112" s="73"/>
      <c r="AE112" s="73"/>
      <c r="AF112" s="73"/>
      <c r="AG112" s="73"/>
    </row>
    <row r="113" spans="1:29" ht="15" customHeight="1">
      <c r="A113" s="681" t="s">
        <v>106</v>
      </c>
      <c r="B113" s="682"/>
      <c r="C113" s="683"/>
      <c r="D113" s="76"/>
      <c r="F113" s="76"/>
      <c r="I113" s="76"/>
      <c r="J113" s="76"/>
      <c r="L113" s="76"/>
      <c r="O113" s="526"/>
      <c r="P113" s="498">
        <f>P112</f>
        <v>4000</v>
      </c>
      <c r="Q113" s="500">
        <f>R113*P113*PI()/30000</f>
        <v>113.69423813341461</v>
      </c>
      <c r="R113" s="500">
        <f>R112*(P112/P113)^2</f>
        <v>271.42500000000001</v>
      </c>
      <c r="S113" s="498">
        <f>S112</f>
        <v>3491.291885986243</v>
      </c>
      <c r="T113" s="500">
        <f>U113*S113*PI()/30000</f>
        <v>166.31163406025442</v>
      </c>
      <c r="U113" s="500">
        <f>U112</f>
        <v>454.89153331393874</v>
      </c>
      <c r="V113" s="498">
        <f t="shared" si="28"/>
        <v>3654.8957043298815</v>
      </c>
      <c r="W113" s="498">
        <f t="shared" si="22"/>
        <v>11.200805549387514</v>
      </c>
      <c r="X113" s="500">
        <f t="shared" si="29"/>
        <v>29.264806123210622</v>
      </c>
      <c r="Y113" s="73"/>
      <c r="Z113" s="73"/>
      <c r="AA113" s="526"/>
      <c r="AB113" s="73"/>
      <c r="AC113" s="73"/>
    </row>
    <row r="114" spans="1:29" ht="15" customHeight="1" thickBot="1">
      <c r="A114" s="684"/>
      <c r="B114" s="685"/>
      <c r="C114" s="686"/>
      <c r="D114" s="76"/>
      <c r="F114" s="76"/>
      <c r="I114" s="76"/>
      <c r="J114" s="76"/>
      <c r="L114" s="76"/>
      <c r="O114" s="526"/>
      <c r="P114" s="498">
        <f t="shared" ref="P114:P131" si="31">IF(P113*1.1&gt;MIN($L$13,$D$112),MIN($L$13,$D$112),P113*1.1)</f>
        <v>4000</v>
      </c>
      <c r="Q114" s="500">
        <f>R114*P114*PI()/30000</f>
        <v>113.69423813341461</v>
      </c>
      <c r="R114" s="500">
        <f t="shared" ref="R114:R130" si="32">R113*(P113/P114)^(1+$AD$87)</f>
        <v>271.42500000000001</v>
      </c>
      <c r="S114" s="498">
        <f t="shared" ref="S114:S131" si="33">IF(S113*1.1&gt;MIN($L$13,$D$112),MIN($L$13,$D$112),S113*1.1)</f>
        <v>3840.4210745848677</v>
      </c>
      <c r="T114" s="500">
        <f t="shared" ref="T114:T131" si="34">U114*S114*PI()/30000</f>
        <v>152.78585217925948</v>
      </c>
      <c r="U114" s="500">
        <f t="shared" ref="U114:U130" si="35">U113*(S113/S114)^(1+$AD$87)</f>
        <v>379.90558540196463</v>
      </c>
      <c r="V114" s="498">
        <f t="shared" si="28"/>
        <v>4000</v>
      </c>
      <c r="W114" s="498">
        <f t="shared" si="22"/>
        <v>10.336526092094713</v>
      </c>
      <c r="X114" s="500">
        <f t="shared" si="29"/>
        <v>24.67663832932838</v>
      </c>
      <c r="Y114" s="73"/>
      <c r="Z114" s="73"/>
      <c r="AA114" s="526"/>
      <c r="AB114" s="73"/>
      <c r="AC114" s="73"/>
    </row>
    <row r="115" spans="1:29" ht="15" customHeight="1" thickBot="1">
      <c r="A115" s="370" t="s">
        <v>79</v>
      </c>
      <c r="B115" s="370" t="s">
        <v>116</v>
      </c>
      <c r="C115" s="370" t="s">
        <v>117</v>
      </c>
      <c r="D115" s="76"/>
      <c r="F115" s="76"/>
      <c r="I115" s="76"/>
      <c r="J115" s="76"/>
      <c r="L115" s="76"/>
      <c r="O115" s="526"/>
      <c r="P115" s="498">
        <f t="shared" si="31"/>
        <v>4000</v>
      </c>
      <c r="Q115" s="500">
        <f t="shared" ref="Q115:Q131" si="36">R115*P115*PI()/30000</f>
        <v>113.69423813341461</v>
      </c>
      <c r="R115" s="500">
        <f t="shared" si="32"/>
        <v>271.42500000000001</v>
      </c>
      <c r="S115" s="498">
        <f t="shared" si="33"/>
        <v>4000</v>
      </c>
      <c r="T115" s="500">
        <f t="shared" si="34"/>
        <v>147.34890742533079</v>
      </c>
      <c r="U115" s="500">
        <f t="shared" si="35"/>
        <v>351.76960463897223</v>
      </c>
      <c r="V115" s="498">
        <f t="shared" si="28"/>
        <v>4000</v>
      </c>
      <c r="W115" s="498">
        <f t="shared" si="22"/>
        <v>10.336526092094713</v>
      </c>
      <c r="X115" s="500">
        <f t="shared" si="29"/>
        <v>24.67663832932838</v>
      </c>
      <c r="Y115" s="73"/>
      <c r="Z115" s="73"/>
      <c r="AA115" s="526"/>
      <c r="AB115" s="73"/>
      <c r="AC115" s="73"/>
    </row>
    <row r="116" spans="1:29" ht="15" customHeight="1">
      <c r="A116" s="371"/>
      <c r="B116" s="380"/>
      <c r="C116" s="381"/>
      <c r="D116" s="76"/>
      <c r="F116" s="76"/>
      <c r="I116" s="76"/>
      <c r="J116" s="76"/>
      <c r="L116" s="76"/>
      <c r="O116" s="526"/>
      <c r="P116" s="498">
        <f t="shared" si="31"/>
        <v>4000</v>
      </c>
      <c r="Q116" s="500">
        <f t="shared" si="36"/>
        <v>113.69423813341461</v>
      </c>
      <c r="R116" s="500">
        <f t="shared" si="32"/>
        <v>271.42500000000001</v>
      </c>
      <c r="S116" s="498">
        <f t="shared" si="33"/>
        <v>4000</v>
      </c>
      <c r="T116" s="500">
        <f t="shared" si="34"/>
        <v>147.34890742533079</v>
      </c>
      <c r="U116" s="500">
        <f t="shared" si="35"/>
        <v>351.76960463897223</v>
      </c>
      <c r="V116" s="498">
        <f t="shared" si="28"/>
        <v>4000</v>
      </c>
      <c r="W116" s="498">
        <f t="shared" si="22"/>
        <v>10.336526092094713</v>
      </c>
      <c r="X116" s="500">
        <f t="shared" si="29"/>
        <v>24.67663832932838</v>
      </c>
      <c r="Y116" s="73"/>
      <c r="Z116" s="73"/>
      <c r="AA116" s="526"/>
      <c r="AB116" s="73"/>
      <c r="AC116" s="73"/>
    </row>
    <row r="117" spans="1:29" ht="15" customHeight="1">
      <c r="A117" s="374"/>
      <c r="B117" s="382"/>
      <c r="C117" s="383"/>
      <c r="D117" s="76"/>
      <c r="F117" s="76"/>
      <c r="I117" s="76"/>
      <c r="J117" s="76"/>
      <c r="L117" s="76"/>
      <c r="O117" s="526"/>
      <c r="P117" s="498">
        <f t="shared" si="31"/>
        <v>4000</v>
      </c>
      <c r="Q117" s="500">
        <f t="shared" si="36"/>
        <v>113.69423813341461</v>
      </c>
      <c r="R117" s="500">
        <f t="shared" si="32"/>
        <v>271.42500000000001</v>
      </c>
      <c r="S117" s="498">
        <f t="shared" si="33"/>
        <v>4000</v>
      </c>
      <c r="T117" s="500">
        <f t="shared" si="34"/>
        <v>147.34890742533079</v>
      </c>
      <c r="U117" s="500">
        <f t="shared" si="35"/>
        <v>351.76960463897223</v>
      </c>
      <c r="V117" s="498">
        <f t="shared" si="28"/>
        <v>4000</v>
      </c>
      <c r="W117" s="498">
        <f t="shared" si="22"/>
        <v>10.336526092094713</v>
      </c>
      <c r="X117" s="500">
        <f t="shared" si="29"/>
        <v>24.67663832932838</v>
      </c>
      <c r="Y117" s="73"/>
      <c r="Z117" s="73"/>
      <c r="AA117" s="526"/>
      <c r="AB117" s="73"/>
      <c r="AC117" s="73"/>
    </row>
    <row r="118" spans="1:29" ht="15" customHeight="1">
      <c r="A118" s="374"/>
      <c r="B118" s="382"/>
      <c r="C118" s="383"/>
      <c r="D118" s="76"/>
      <c r="F118" s="76"/>
      <c r="I118" s="76"/>
      <c r="J118" s="76"/>
      <c r="L118" s="76"/>
      <c r="O118" s="526"/>
      <c r="P118" s="498">
        <f t="shared" si="31"/>
        <v>4000</v>
      </c>
      <c r="Q118" s="500">
        <f t="shared" si="36"/>
        <v>113.69423813341461</v>
      </c>
      <c r="R118" s="500">
        <f t="shared" si="32"/>
        <v>271.42500000000001</v>
      </c>
      <c r="S118" s="498">
        <f t="shared" si="33"/>
        <v>4000</v>
      </c>
      <c r="T118" s="500">
        <f t="shared" si="34"/>
        <v>147.34890742533079</v>
      </c>
      <c r="U118" s="500">
        <f t="shared" si="35"/>
        <v>351.76960463897223</v>
      </c>
      <c r="V118" s="498">
        <f t="shared" si="28"/>
        <v>4000</v>
      </c>
      <c r="W118" s="498">
        <f t="shared" si="22"/>
        <v>10.336526092094713</v>
      </c>
      <c r="X118" s="500">
        <f t="shared" si="29"/>
        <v>24.67663832932838</v>
      </c>
      <c r="Y118" s="73"/>
      <c r="Z118" s="73"/>
      <c r="AA118" s="526"/>
      <c r="AB118" s="73"/>
      <c r="AC118" s="73"/>
    </row>
    <row r="119" spans="1:29" ht="15" customHeight="1">
      <c r="A119" s="374"/>
      <c r="B119" s="382"/>
      <c r="C119" s="383"/>
      <c r="D119" s="76"/>
      <c r="F119" s="76"/>
      <c r="I119" s="76"/>
      <c r="J119" s="76"/>
      <c r="L119" s="76"/>
      <c r="O119" s="526"/>
      <c r="P119" s="498">
        <f t="shared" si="31"/>
        <v>4000</v>
      </c>
      <c r="Q119" s="500">
        <f t="shared" si="36"/>
        <v>113.69423813341461</v>
      </c>
      <c r="R119" s="500">
        <f t="shared" si="32"/>
        <v>271.42500000000001</v>
      </c>
      <c r="S119" s="498">
        <f t="shared" si="33"/>
        <v>4000</v>
      </c>
      <c r="T119" s="500">
        <f t="shared" si="34"/>
        <v>147.34890742533079</v>
      </c>
      <c r="U119" s="500">
        <f t="shared" si="35"/>
        <v>351.76960463897223</v>
      </c>
      <c r="V119" s="498">
        <f t="shared" si="28"/>
        <v>4000</v>
      </c>
      <c r="W119" s="498">
        <f t="shared" si="22"/>
        <v>10.336526092094713</v>
      </c>
      <c r="X119" s="500">
        <f t="shared" si="29"/>
        <v>24.67663832932838</v>
      </c>
      <c r="Y119" s="73"/>
      <c r="Z119" s="73"/>
      <c r="AA119" s="526"/>
      <c r="AB119" s="73"/>
      <c r="AC119" s="73"/>
    </row>
    <row r="120" spans="1:29" ht="15" customHeight="1">
      <c r="A120" s="374"/>
      <c r="B120" s="382"/>
      <c r="C120" s="383"/>
      <c r="D120" s="76"/>
      <c r="F120" s="76"/>
      <c r="I120" s="76"/>
      <c r="J120" s="76"/>
      <c r="L120" s="76"/>
      <c r="O120" s="526"/>
      <c r="P120" s="498">
        <f t="shared" si="31"/>
        <v>4000</v>
      </c>
      <c r="Q120" s="500">
        <f t="shared" si="36"/>
        <v>113.69423813341461</v>
      </c>
      <c r="R120" s="500">
        <f t="shared" si="32"/>
        <v>271.42500000000001</v>
      </c>
      <c r="S120" s="498">
        <f t="shared" si="33"/>
        <v>4000</v>
      </c>
      <c r="T120" s="500">
        <f t="shared" si="34"/>
        <v>147.34890742533079</v>
      </c>
      <c r="U120" s="500">
        <f t="shared" si="35"/>
        <v>351.76960463897223</v>
      </c>
      <c r="V120" s="498">
        <f t="shared" si="28"/>
        <v>4000</v>
      </c>
      <c r="W120" s="498">
        <f t="shared" si="22"/>
        <v>10.336526092094713</v>
      </c>
      <c r="X120" s="500">
        <f t="shared" si="29"/>
        <v>24.67663832932838</v>
      </c>
      <c r="Y120" s="73"/>
      <c r="Z120" s="73"/>
      <c r="AA120" s="526"/>
      <c r="AB120" s="73"/>
      <c r="AC120" s="73"/>
    </row>
    <row r="121" spans="1:29" ht="15" customHeight="1">
      <c r="A121" s="374"/>
      <c r="B121" s="382"/>
      <c r="C121" s="383"/>
      <c r="D121" s="76"/>
      <c r="F121" s="76"/>
      <c r="I121" s="76"/>
      <c r="J121" s="76"/>
      <c r="L121" s="76"/>
      <c r="O121" s="526"/>
      <c r="P121" s="498">
        <f t="shared" si="31"/>
        <v>4000</v>
      </c>
      <c r="Q121" s="500">
        <f t="shared" si="36"/>
        <v>113.69423813341461</v>
      </c>
      <c r="R121" s="500">
        <f t="shared" si="32"/>
        <v>271.42500000000001</v>
      </c>
      <c r="S121" s="498">
        <f t="shared" si="33"/>
        <v>4000</v>
      </c>
      <c r="T121" s="500">
        <f t="shared" si="34"/>
        <v>147.34890742533079</v>
      </c>
      <c r="U121" s="500">
        <f t="shared" si="35"/>
        <v>351.76960463897223</v>
      </c>
      <c r="V121" s="498">
        <f t="shared" si="28"/>
        <v>4000</v>
      </c>
      <c r="W121" s="498">
        <f t="shared" si="22"/>
        <v>10.336526092094713</v>
      </c>
      <c r="X121" s="500">
        <f t="shared" si="29"/>
        <v>24.67663832932838</v>
      </c>
      <c r="Y121" s="73"/>
      <c r="Z121" s="73"/>
      <c r="AA121" s="526"/>
      <c r="AB121" s="73"/>
      <c r="AC121" s="73"/>
    </row>
    <row r="122" spans="1:29" ht="15" customHeight="1">
      <c r="A122" s="374"/>
      <c r="B122" s="382"/>
      <c r="C122" s="383"/>
      <c r="D122" s="76"/>
      <c r="F122" s="76"/>
      <c r="I122" s="76"/>
      <c r="J122" s="76"/>
      <c r="L122" s="76"/>
      <c r="O122" s="526"/>
      <c r="P122" s="498">
        <f t="shared" si="31"/>
        <v>4000</v>
      </c>
      <c r="Q122" s="500">
        <f t="shared" si="36"/>
        <v>113.69423813341461</v>
      </c>
      <c r="R122" s="500">
        <f t="shared" si="32"/>
        <v>271.42500000000001</v>
      </c>
      <c r="S122" s="498">
        <f t="shared" si="33"/>
        <v>4000</v>
      </c>
      <c r="T122" s="500">
        <f t="shared" si="34"/>
        <v>147.34890742533079</v>
      </c>
      <c r="U122" s="500">
        <f t="shared" si="35"/>
        <v>351.76960463897223</v>
      </c>
      <c r="V122" s="498">
        <f t="shared" si="28"/>
        <v>4000</v>
      </c>
      <c r="W122" s="498">
        <f t="shared" si="22"/>
        <v>10.336526092094713</v>
      </c>
      <c r="X122" s="500">
        <f t="shared" si="29"/>
        <v>24.67663832932838</v>
      </c>
      <c r="Y122" s="73"/>
      <c r="Z122" s="73"/>
      <c r="AA122" s="526"/>
      <c r="AB122" s="73"/>
      <c r="AC122" s="73"/>
    </row>
    <row r="123" spans="1:29" ht="15" customHeight="1">
      <c r="A123" s="374"/>
      <c r="B123" s="382"/>
      <c r="C123" s="383"/>
      <c r="D123" s="76"/>
      <c r="F123" s="76"/>
      <c r="I123" s="76"/>
      <c r="J123" s="76"/>
      <c r="L123" s="76"/>
      <c r="O123" s="526"/>
      <c r="P123" s="498">
        <f t="shared" si="31"/>
        <v>4000</v>
      </c>
      <c r="Q123" s="500">
        <f t="shared" si="36"/>
        <v>113.69423813341461</v>
      </c>
      <c r="R123" s="500">
        <f t="shared" si="32"/>
        <v>271.42500000000001</v>
      </c>
      <c r="S123" s="498">
        <f t="shared" si="33"/>
        <v>4000</v>
      </c>
      <c r="T123" s="500">
        <f t="shared" si="34"/>
        <v>147.34890742533079</v>
      </c>
      <c r="U123" s="500">
        <f t="shared" si="35"/>
        <v>351.76960463897223</v>
      </c>
      <c r="V123" s="498">
        <f t="shared" si="28"/>
        <v>4000</v>
      </c>
      <c r="W123" s="498">
        <f t="shared" si="22"/>
        <v>10.336526092094713</v>
      </c>
      <c r="X123" s="500">
        <f t="shared" si="29"/>
        <v>24.67663832932838</v>
      </c>
      <c r="Y123" s="73"/>
      <c r="Z123" s="73"/>
      <c r="AA123" s="526"/>
      <c r="AB123" s="73"/>
      <c r="AC123" s="73"/>
    </row>
    <row r="124" spans="1:29" ht="15" customHeight="1">
      <c r="A124" s="374"/>
      <c r="B124" s="382"/>
      <c r="C124" s="383"/>
      <c r="D124" s="76"/>
      <c r="F124" s="76"/>
      <c r="I124" s="76"/>
      <c r="J124" s="76"/>
      <c r="L124" s="76"/>
      <c r="O124" s="526"/>
      <c r="P124" s="498">
        <f t="shared" si="31"/>
        <v>4000</v>
      </c>
      <c r="Q124" s="500">
        <f t="shared" si="36"/>
        <v>113.69423813341461</v>
      </c>
      <c r="R124" s="500">
        <f t="shared" si="32"/>
        <v>271.42500000000001</v>
      </c>
      <c r="S124" s="498">
        <f t="shared" si="33"/>
        <v>4000</v>
      </c>
      <c r="T124" s="500">
        <f t="shared" si="34"/>
        <v>147.34890742533079</v>
      </c>
      <c r="U124" s="500">
        <f t="shared" si="35"/>
        <v>351.76960463897223</v>
      </c>
      <c r="V124" s="498">
        <f t="shared" si="28"/>
        <v>4000</v>
      </c>
      <c r="W124" s="498">
        <f t="shared" si="22"/>
        <v>10.336526092094713</v>
      </c>
      <c r="X124" s="500">
        <f t="shared" si="29"/>
        <v>24.67663832932838</v>
      </c>
      <c r="Y124" s="73"/>
      <c r="Z124" s="73"/>
      <c r="AA124" s="526"/>
      <c r="AB124" s="73"/>
      <c r="AC124" s="73"/>
    </row>
    <row r="125" spans="1:29" ht="15" customHeight="1">
      <c r="A125" s="374"/>
      <c r="B125" s="382"/>
      <c r="C125" s="383"/>
      <c r="D125" s="76"/>
      <c r="F125" s="76"/>
      <c r="I125" s="76"/>
      <c r="J125" s="76"/>
      <c r="L125" s="76"/>
      <c r="O125" s="526"/>
      <c r="P125" s="498">
        <f t="shared" si="31"/>
        <v>4000</v>
      </c>
      <c r="Q125" s="500">
        <f t="shared" si="36"/>
        <v>113.69423813341461</v>
      </c>
      <c r="R125" s="500">
        <f t="shared" si="32"/>
        <v>271.42500000000001</v>
      </c>
      <c r="S125" s="498">
        <f t="shared" si="33"/>
        <v>4000</v>
      </c>
      <c r="T125" s="500">
        <f t="shared" si="34"/>
        <v>147.34890742533079</v>
      </c>
      <c r="U125" s="500">
        <f t="shared" si="35"/>
        <v>351.76960463897223</v>
      </c>
      <c r="V125" s="498">
        <f t="shared" si="28"/>
        <v>4000</v>
      </c>
      <c r="W125" s="498">
        <f t="shared" si="22"/>
        <v>10.336526092094713</v>
      </c>
      <c r="X125" s="500">
        <f t="shared" si="29"/>
        <v>24.67663832932838</v>
      </c>
      <c r="Y125" s="73"/>
      <c r="Z125" s="73"/>
      <c r="AA125" s="526"/>
      <c r="AB125" s="73"/>
      <c r="AC125" s="73"/>
    </row>
    <row r="126" spans="1:29" ht="15" customHeight="1">
      <c r="A126" s="374"/>
      <c r="B126" s="382"/>
      <c r="C126" s="383"/>
      <c r="D126" s="76"/>
      <c r="F126" s="76"/>
      <c r="I126" s="76"/>
      <c r="J126" s="76"/>
      <c r="L126" s="76"/>
      <c r="O126" s="526"/>
      <c r="P126" s="498">
        <f t="shared" si="31"/>
        <v>4000</v>
      </c>
      <c r="Q126" s="500">
        <f t="shared" si="36"/>
        <v>113.69423813341461</v>
      </c>
      <c r="R126" s="500">
        <f t="shared" si="32"/>
        <v>271.42500000000001</v>
      </c>
      <c r="S126" s="498">
        <f t="shared" si="33"/>
        <v>4000</v>
      </c>
      <c r="T126" s="500">
        <f t="shared" si="34"/>
        <v>147.34890742533079</v>
      </c>
      <c r="U126" s="500">
        <f t="shared" si="35"/>
        <v>351.76960463897223</v>
      </c>
      <c r="V126" s="498">
        <f t="shared" si="28"/>
        <v>4000</v>
      </c>
      <c r="W126" s="498">
        <f t="shared" si="22"/>
        <v>10.336526092094713</v>
      </c>
      <c r="X126" s="500">
        <f t="shared" si="29"/>
        <v>24.67663832932838</v>
      </c>
      <c r="Y126" s="73"/>
      <c r="Z126" s="73"/>
      <c r="AA126" s="526"/>
      <c r="AB126" s="73"/>
      <c r="AC126" s="73"/>
    </row>
    <row r="127" spans="1:29" ht="15" customHeight="1">
      <c r="A127" s="374"/>
      <c r="B127" s="382"/>
      <c r="C127" s="383"/>
      <c r="D127" s="76"/>
      <c r="F127" s="76"/>
      <c r="I127" s="76"/>
      <c r="J127" s="76"/>
      <c r="L127" s="76"/>
      <c r="O127" s="526"/>
      <c r="P127" s="498">
        <f t="shared" si="31"/>
        <v>4000</v>
      </c>
      <c r="Q127" s="500">
        <f t="shared" si="36"/>
        <v>113.69423813341461</v>
      </c>
      <c r="R127" s="500">
        <f t="shared" si="32"/>
        <v>271.42500000000001</v>
      </c>
      <c r="S127" s="498">
        <f t="shared" si="33"/>
        <v>4000</v>
      </c>
      <c r="T127" s="500">
        <f t="shared" si="34"/>
        <v>147.34890742533079</v>
      </c>
      <c r="U127" s="500">
        <f t="shared" si="35"/>
        <v>351.76960463897223</v>
      </c>
      <c r="V127" s="498">
        <f t="shared" si="28"/>
        <v>4000</v>
      </c>
      <c r="W127" s="498">
        <f t="shared" si="22"/>
        <v>10.336526092094713</v>
      </c>
      <c r="X127" s="500">
        <f t="shared" si="29"/>
        <v>24.67663832932838</v>
      </c>
      <c r="Y127" s="73"/>
      <c r="Z127" s="73"/>
      <c r="AA127" s="526"/>
      <c r="AB127" s="73"/>
      <c r="AC127" s="73"/>
    </row>
    <row r="128" spans="1:29" ht="15" customHeight="1">
      <c r="A128" s="374"/>
      <c r="B128" s="382"/>
      <c r="C128" s="383"/>
      <c r="D128" s="76"/>
      <c r="F128" s="76"/>
      <c r="I128" s="76"/>
      <c r="J128" s="76"/>
      <c r="L128" s="76"/>
      <c r="O128" s="526"/>
      <c r="P128" s="498">
        <f t="shared" si="31"/>
        <v>4000</v>
      </c>
      <c r="Q128" s="500">
        <f t="shared" si="36"/>
        <v>113.69423813341461</v>
      </c>
      <c r="R128" s="500">
        <f t="shared" si="32"/>
        <v>271.42500000000001</v>
      </c>
      <c r="S128" s="498">
        <f t="shared" si="33"/>
        <v>4000</v>
      </c>
      <c r="T128" s="500">
        <f t="shared" si="34"/>
        <v>147.34890742533079</v>
      </c>
      <c r="U128" s="500">
        <f t="shared" si="35"/>
        <v>351.76960463897223</v>
      </c>
      <c r="V128" s="498">
        <f t="shared" si="28"/>
        <v>4000</v>
      </c>
      <c r="W128" s="498">
        <f t="shared" si="22"/>
        <v>10.336526092094713</v>
      </c>
      <c r="X128" s="500">
        <f t="shared" si="29"/>
        <v>24.67663832932838</v>
      </c>
      <c r="Y128" s="73"/>
      <c r="Z128" s="73"/>
      <c r="AA128" s="526"/>
      <c r="AB128" s="73"/>
      <c r="AC128" s="73"/>
    </row>
    <row r="129" spans="1:57" ht="15" customHeight="1">
      <c r="A129" s="374"/>
      <c r="B129" s="382"/>
      <c r="C129" s="383"/>
      <c r="D129" s="76"/>
      <c r="F129" s="76"/>
      <c r="I129" s="76"/>
      <c r="J129" s="76"/>
      <c r="L129" s="76"/>
      <c r="O129" s="526"/>
      <c r="P129" s="498">
        <f t="shared" si="31"/>
        <v>4000</v>
      </c>
      <c r="Q129" s="500">
        <f t="shared" si="36"/>
        <v>113.69423813341461</v>
      </c>
      <c r="R129" s="500">
        <f t="shared" si="32"/>
        <v>271.42500000000001</v>
      </c>
      <c r="S129" s="498">
        <f t="shared" si="33"/>
        <v>4000</v>
      </c>
      <c r="T129" s="500">
        <f t="shared" si="34"/>
        <v>147.34890742533079</v>
      </c>
      <c r="U129" s="500">
        <f t="shared" si="35"/>
        <v>351.76960463897223</v>
      </c>
      <c r="V129" s="498">
        <f t="shared" si="28"/>
        <v>4000</v>
      </c>
      <c r="W129" s="498">
        <f t="shared" si="22"/>
        <v>10.336526092094713</v>
      </c>
      <c r="X129" s="500">
        <f t="shared" si="29"/>
        <v>24.67663832932838</v>
      </c>
      <c r="Y129" s="73"/>
      <c r="Z129" s="73"/>
      <c r="AA129" s="526"/>
      <c r="AB129" s="73"/>
      <c r="AC129" s="73"/>
    </row>
    <row r="130" spans="1:57" ht="15" customHeight="1">
      <c r="A130" s="374"/>
      <c r="B130" s="382"/>
      <c r="C130" s="383"/>
      <c r="D130" s="76"/>
      <c r="F130" s="76"/>
      <c r="I130" s="76"/>
      <c r="J130" s="76"/>
      <c r="L130" s="76"/>
      <c r="O130" s="526"/>
      <c r="P130" s="498">
        <f t="shared" si="31"/>
        <v>4000</v>
      </c>
      <c r="Q130" s="500">
        <f t="shared" si="36"/>
        <v>113.69423813341461</v>
      </c>
      <c r="R130" s="500">
        <f t="shared" si="32"/>
        <v>271.42500000000001</v>
      </c>
      <c r="S130" s="498">
        <f t="shared" si="33"/>
        <v>4000</v>
      </c>
      <c r="T130" s="500">
        <f t="shared" si="34"/>
        <v>147.34890742533079</v>
      </c>
      <c r="U130" s="500">
        <f t="shared" si="35"/>
        <v>351.76960463897223</v>
      </c>
      <c r="V130" s="498">
        <f t="shared" si="28"/>
        <v>4000</v>
      </c>
      <c r="W130" s="498">
        <f t="shared" si="22"/>
        <v>10.336526092094713</v>
      </c>
      <c r="X130" s="500">
        <f t="shared" si="29"/>
        <v>24.67663832932838</v>
      </c>
      <c r="Y130" s="73"/>
      <c r="Z130" s="73"/>
      <c r="AA130" s="526"/>
      <c r="AB130" s="73"/>
      <c r="AC130" s="73"/>
    </row>
    <row r="131" spans="1:57" ht="15" customHeight="1">
      <c r="A131" s="374"/>
      <c r="B131" s="382"/>
      <c r="C131" s="383"/>
      <c r="D131" s="76"/>
      <c r="F131" s="76"/>
      <c r="I131" s="76"/>
      <c r="J131" s="76"/>
      <c r="L131" s="76"/>
      <c r="O131" s="526"/>
      <c r="P131" s="498">
        <f t="shared" si="31"/>
        <v>4000</v>
      </c>
      <c r="Q131" s="500">
        <f t="shared" si="36"/>
        <v>113.69423813341461</v>
      </c>
      <c r="R131" s="500">
        <f>R130*(P130/P131)^(1+$AD$87)</f>
        <v>271.42500000000001</v>
      </c>
      <c r="S131" s="498">
        <f t="shared" si="33"/>
        <v>4000</v>
      </c>
      <c r="T131" s="500">
        <f t="shared" si="34"/>
        <v>147.34890742533079</v>
      </c>
      <c r="U131" s="500">
        <f>U130*(S130/S131)^(1+$AD$87)</f>
        <v>351.76960463897223</v>
      </c>
      <c r="V131" s="498">
        <f t="shared" si="28"/>
        <v>4000</v>
      </c>
      <c r="W131" s="498">
        <f t="shared" si="22"/>
        <v>10.336526092094713</v>
      </c>
      <c r="X131" s="500">
        <f>X130*(V130/V131)^(1+$AD$87)</f>
        <v>24.67663832932838</v>
      </c>
      <c r="Y131" s="73"/>
      <c r="Z131" s="73"/>
      <c r="AA131" s="526"/>
      <c r="AB131" s="73"/>
      <c r="AC131" s="73"/>
    </row>
    <row r="132" spans="1:57" ht="15" customHeight="1">
      <c r="A132" s="374"/>
      <c r="B132" s="382"/>
      <c r="C132" s="383"/>
      <c r="D132" s="76"/>
      <c r="F132" s="76"/>
      <c r="I132" s="76"/>
      <c r="J132" s="76"/>
      <c r="L132" s="76"/>
      <c r="O132" s="526"/>
      <c r="P132" s="498"/>
      <c r="Q132" s="500"/>
      <c r="R132" s="500"/>
      <c r="S132" s="500"/>
      <c r="T132" s="500"/>
      <c r="U132" s="498"/>
      <c r="V132" s="498"/>
      <c r="W132" s="73"/>
      <c r="X132" s="73"/>
      <c r="Y132" s="73"/>
      <c r="Z132" s="73"/>
      <c r="AA132" s="526"/>
      <c r="AB132" s="73"/>
      <c r="AC132" s="73"/>
    </row>
    <row r="133" spans="1:57" ht="15" customHeight="1">
      <c r="A133" s="374"/>
      <c r="B133" s="382"/>
      <c r="C133" s="383"/>
      <c r="D133" s="76"/>
      <c r="F133" s="76"/>
      <c r="I133" s="76"/>
      <c r="J133" s="76"/>
      <c r="L133" s="76"/>
      <c r="O133" s="73"/>
      <c r="P133" s="498"/>
      <c r="Q133" s="500"/>
      <c r="R133" s="500"/>
      <c r="S133" s="500"/>
      <c r="T133" s="500"/>
      <c r="U133" s="498"/>
      <c r="V133" s="498"/>
      <c r="W133" s="73"/>
      <c r="X133" s="73"/>
      <c r="Y133" s="73"/>
      <c r="Z133" s="73"/>
      <c r="AA133" s="73"/>
      <c r="AB133" s="73"/>
      <c r="AC133" s="73"/>
    </row>
    <row r="134" spans="1:57" ht="15" customHeight="1">
      <c r="A134" s="374"/>
      <c r="B134" s="382"/>
      <c r="C134" s="383"/>
      <c r="D134" s="76"/>
      <c r="F134" s="76"/>
      <c r="I134" s="76"/>
      <c r="J134" s="76"/>
      <c r="L134" s="76"/>
      <c r="O134" s="73"/>
      <c r="P134" s="498"/>
      <c r="Q134" s="500"/>
      <c r="R134" s="500"/>
      <c r="S134" s="500"/>
      <c r="T134" s="500"/>
      <c r="U134" s="498"/>
      <c r="V134" s="498"/>
      <c r="W134" s="73"/>
      <c r="X134" s="73"/>
      <c r="Y134" s="73"/>
      <c r="Z134" s="73"/>
      <c r="AA134" s="73"/>
      <c r="AB134" s="73"/>
      <c r="AC134" s="73"/>
    </row>
    <row r="135" spans="1:57" ht="15" customHeight="1" thickBot="1">
      <c r="A135" s="377"/>
      <c r="B135" s="384"/>
      <c r="C135" s="385"/>
      <c r="D135" s="76"/>
      <c r="F135" s="76"/>
      <c r="I135" s="76"/>
      <c r="J135" s="76"/>
      <c r="L135" s="76"/>
      <c r="O135" s="73"/>
      <c r="P135" s="498"/>
      <c r="Q135" s="500"/>
      <c r="R135" s="500"/>
      <c r="S135" s="500"/>
      <c r="T135" s="500"/>
      <c r="U135" s="498"/>
      <c r="V135" s="498"/>
      <c r="W135" s="73"/>
      <c r="X135" s="73"/>
      <c r="Y135" s="73"/>
      <c r="Z135" s="73"/>
      <c r="AA135" s="73"/>
      <c r="AB135" s="73"/>
      <c r="AC135" s="73"/>
    </row>
    <row r="136" spans="1:57" ht="15" customHeight="1">
      <c r="A136" s="203">
        <f>MAX(A112,IF(A116="",0,MAX(A116:A135)))</f>
        <v>0</v>
      </c>
      <c r="B136" s="204"/>
      <c r="C136" s="204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</row>
    <row r="137" spans="1:57" ht="15" customHeight="1" thickBot="1"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</row>
    <row r="138" spans="1:57" ht="20.100000000000001" customHeight="1">
      <c r="A138" s="65"/>
      <c r="B138" s="66"/>
      <c r="C138" s="67"/>
      <c r="D138" s="183"/>
      <c r="E138" s="183"/>
      <c r="F138" s="183"/>
      <c r="G138" s="183"/>
      <c r="H138" s="183"/>
      <c r="I138" s="183"/>
      <c r="J138" s="184"/>
      <c r="K138" s="183"/>
      <c r="L138" s="185"/>
      <c r="M138" s="600"/>
      <c r="N138" s="601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</row>
    <row r="139" spans="1:57" ht="20.100000000000001" customHeight="1">
      <c r="A139" s="77"/>
      <c r="C139" s="78"/>
      <c r="D139" s="632" t="str">
        <f>D76</f>
        <v>MAC QE 200 P</v>
      </c>
      <c r="E139" s="633"/>
      <c r="F139" s="633"/>
      <c r="G139" s="633"/>
      <c r="H139" s="633"/>
      <c r="I139" s="633"/>
      <c r="J139" s="633"/>
      <c r="K139" s="634"/>
      <c r="L139" s="186"/>
      <c r="M139" s="545"/>
      <c r="N139" s="546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</row>
    <row r="140" spans="1:57" ht="20.100000000000001" customHeight="1">
      <c r="A140" s="77"/>
      <c r="C140" s="78"/>
      <c r="D140" s="607" t="s">
        <v>215</v>
      </c>
      <c r="E140" s="608"/>
      <c r="F140" s="608"/>
      <c r="G140" s="608"/>
      <c r="H140" s="608"/>
      <c r="I140" s="608"/>
      <c r="J140" s="608"/>
      <c r="K140" s="609"/>
      <c r="L140" s="186" t="s">
        <v>102</v>
      </c>
      <c r="M140" s="610" t="str">
        <f>'driving mode datasheet'!M140</f>
        <v>3 de 3</v>
      </c>
      <c r="N140" s="546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</row>
    <row r="141" spans="1:57" ht="20.100000000000001" customHeight="1">
      <c r="A141" s="77"/>
      <c r="C141" s="78"/>
      <c r="D141" s="618" t="s">
        <v>216</v>
      </c>
      <c r="E141" s="619"/>
      <c r="F141" s="619"/>
      <c r="G141" s="619"/>
      <c r="H141" s="619"/>
      <c r="I141" s="619"/>
      <c r="J141" s="619"/>
      <c r="K141" s="620"/>
      <c r="L141" s="186" t="s">
        <v>13</v>
      </c>
      <c r="M141" s="611">
        <f>'driving mode datasheet'!M141</f>
        <v>45244</v>
      </c>
      <c r="N141" s="621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</row>
    <row r="142" spans="1:57" ht="20.100000000000001" customHeight="1" thickBot="1">
      <c r="A142" s="81"/>
      <c r="B142" s="82"/>
      <c r="C142" s="83"/>
      <c r="D142" s="187"/>
      <c r="E142" s="187"/>
      <c r="F142" s="187"/>
      <c r="G142" s="187"/>
      <c r="H142" s="187"/>
      <c r="I142" s="187"/>
      <c r="J142" s="188"/>
      <c r="K142" s="187"/>
      <c r="L142" s="189"/>
      <c r="M142" s="612"/>
      <c r="N142" s="61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</row>
    <row r="143" spans="1:57" ht="54.75" customHeight="1">
      <c r="H143" s="206"/>
    </row>
    <row r="144" spans="1:57" ht="72" customHeight="1" thickBot="1">
      <c r="C144" s="207"/>
      <c r="D144" s="208"/>
      <c r="E144" s="208"/>
      <c r="F144" s="208"/>
      <c r="G144" s="208"/>
      <c r="H144" s="208"/>
      <c r="I144" s="208"/>
      <c r="J144" s="208"/>
      <c r="K144" s="208"/>
      <c r="L144" s="208"/>
      <c r="M144" s="208"/>
      <c r="BE144" s="75"/>
    </row>
    <row r="145" spans="1:57" ht="42.75" customHeight="1" thickTop="1" thickBot="1">
      <c r="C145" s="655" t="str">
        <f>D76</f>
        <v>MAC QE 200 P</v>
      </c>
      <c r="D145" s="656"/>
      <c r="E145" s="656"/>
      <c r="F145" s="656"/>
      <c r="G145" s="209" t="str">
        <f>A87</f>
        <v>G61</v>
      </c>
      <c r="H145" s="209" t="s">
        <v>176</v>
      </c>
      <c r="I145" s="211">
        <f>F9</f>
        <v>6</v>
      </c>
      <c r="J145" s="212" t="s">
        <v>121</v>
      </c>
      <c r="K145" s="657" t="s">
        <v>61</v>
      </c>
      <c r="L145" s="658"/>
      <c r="M145" s="659"/>
      <c r="BE145" s="75"/>
    </row>
    <row r="146" spans="1:57" ht="42.75" customHeight="1" thickTop="1" thickBot="1">
      <c r="C146" s="213" t="s">
        <v>122</v>
      </c>
      <c r="D146" s="660"/>
      <c r="E146" s="660"/>
      <c r="F146" s="661"/>
      <c r="G146" s="214" t="s">
        <v>123</v>
      </c>
      <c r="H146" s="662"/>
      <c r="I146" s="660"/>
      <c r="J146" s="661"/>
      <c r="K146" s="663" t="str">
        <f>J11</f>
        <v>IM B3</v>
      </c>
      <c r="L146" s="658"/>
      <c r="M146" s="659"/>
      <c r="BE146" s="75"/>
    </row>
    <row r="147" spans="1:57" s="201" customFormat="1" ht="42.75" customHeight="1" thickTop="1" thickBot="1">
      <c r="A147" s="76"/>
      <c r="C147" s="213" t="s">
        <v>124</v>
      </c>
      <c r="D147" s="671">
        <f>D87</f>
        <v>113.69423813341461</v>
      </c>
      <c r="E147" s="672"/>
      <c r="F147" s="215" t="s">
        <v>125</v>
      </c>
      <c r="G147" s="214" t="s">
        <v>126</v>
      </c>
      <c r="H147" s="673">
        <f>B87</f>
        <v>705</v>
      </c>
      <c r="I147" s="667"/>
      <c r="J147" s="212" t="s">
        <v>76</v>
      </c>
      <c r="K147" s="663" t="str">
        <f>G11</f>
        <v>IP 54</v>
      </c>
      <c r="L147" s="674"/>
      <c r="M147" s="675"/>
      <c r="N147" s="76"/>
      <c r="O147" s="404"/>
      <c r="P147" s="404"/>
      <c r="Q147" s="404"/>
      <c r="R147" s="404"/>
      <c r="S147" s="404"/>
      <c r="T147" s="404"/>
      <c r="U147" s="404"/>
      <c r="V147" s="404"/>
      <c r="W147" s="404"/>
      <c r="X147" s="404"/>
      <c r="Y147" s="404"/>
      <c r="Z147" s="404"/>
      <c r="AA147" s="404"/>
      <c r="AB147" s="404"/>
      <c r="AC147" s="404"/>
      <c r="AD147" s="216"/>
      <c r="AE147" s="216"/>
      <c r="AF147" s="216"/>
      <c r="AG147" s="216"/>
      <c r="AH147" s="216"/>
      <c r="AI147" s="216"/>
      <c r="AJ147" s="216"/>
      <c r="AK147" s="216"/>
      <c r="AL147" s="216"/>
      <c r="AM147" s="217"/>
      <c r="AN147" s="217"/>
      <c r="AO147" s="217"/>
      <c r="AP147" s="218"/>
      <c r="AQ147" s="217"/>
      <c r="AR147" s="216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</row>
    <row r="148" spans="1:57" ht="42.75" customHeight="1" thickTop="1" thickBot="1">
      <c r="C148" s="213" t="s">
        <v>127</v>
      </c>
      <c r="D148" s="220" t="str">
        <f>IF(RIGHT(G145)="1","Y","D")</f>
        <v>Y</v>
      </c>
      <c r="E148" s="221">
        <f>F81</f>
        <v>400</v>
      </c>
      <c r="F148" s="215" t="s">
        <v>128</v>
      </c>
      <c r="G148" s="214" t="s">
        <v>129</v>
      </c>
      <c r="H148" s="676">
        <f>F87</f>
        <v>76</v>
      </c>
      <c r="I148" s="671"/>
      <c r="J148" s="212" t="s">
        <v>80</v>
      </c>
      <c r="K148" s="657" t="str">
        <f>C8</f>
        <v>IC 416</v>
      </c>
      <c r="L148" s="658"/>
      <c r="M148" s="659"/>
      <c r="BE148" s="75"/>
    </row>
    <row r="149" spans="1:57" ht="42.75" customHeight="1" thickTop="1" thickBot="1">
      <c r="C149" s="213" t="s">
        <v>130</v>
      </c>
      <c r="D149" s="671">
        <f>C87</f>
        <v>211.95146878333776</v>
      </c>
      <c r="E149" s="672"/>
      <c r="F149" s="215" t="s">
        <v>32</v>
      </c>
      <c r="G149" s="214" t="s">
        <v>131</v>
      </c>
      <c r="H149" s="222">
        <f>P87</f>
        <v>0.74607458050588471</v>
      </c>
      <c r="I149" s="213" t="s">
        <v>132</v>
      </c>
      <c r="J149" s="223">
        <f>O87</f>
        <v>0.96360897597738915</v>
      </c>
      <c r="K149" s="657" t="str">
        <f>I15</f>
        <v>Cl. F</v>
      </c>
      <c r="L149" s="658"/>
      <c r="M149" s="659"/>
      <c r="BE149" s="75"/>
    </row>
    <row r="150" spans="1:57" ht="42.75" customHeight="1" thickTop="1" thickBot="1">
      <c r="C150" s="213" t="s">
        <v>133</v>
      </c>
      <c r="D150" s="664">
        <f>E87</f>
        <v>1540</v>
      </c>
      <c r="E150" s="665"/>
      <c r="F150" s="215" t="s">
        <v>79</v>
      </c>
      <c r="G150" s="214" t="s">
        <v>134</v>
      </c>
      <c r="H150" s="666">
        <f>L13</f>
        <v>4000</v>
      </c>
      <c r="I150" s="667"/>
      <c r="J150" s="224" t="s">
        <v>79</v>
      </c>
      <c r="K150" s="657" t="str">
        <f>F24</f>
        <v>S1</v>
      </c>
      <c r="L150" s="658"/>
      <c r="M150" s="659"/>
      <c r="BE150" s="75"/>
    </row>
    <row r="151" spans="1:57" ht="42.75" customHeight="1" thickTop="1" thickBot="1">
      <c r="C151" s="225" t="s">
        <v>135</v>
      </c>
      <c r="D151" s="677" t="str">
        <f>C10</f>
        <v>3 x 400 V</v>
      </c>
      <c r="E151" s="677"/>
      <c r="F151" s="678" t="str">
        <f>C12</f>
        <v>2,6 A</v>
      </c>
      <c r="G151" s="678"/>
      <c r="H151" s="457" t="str">
        <f>C11</f>
        <v>50 Hz</v>
      </c>
      <c r="I151" s="225" t="s">
        <v>136</v>
      </c>
      <c r="J151" s="227" t="s">
        <v>76</v>
      </c>
      <c r="K151" s="226" t="s">
        <v>76</v>
      </c>
      <c r="L151" s="228" t="s">
        <v>137</v>
      </c>
      <c r="M151" s="229" t="s">
        <v>137</v>
      </c>
      <c r="BE151" s="75"/>
    </row>
    <row r="152" spans="1:57" ht="42.75" customHeight="1" thickTop="1" thickBot="1">
      <c r="C152" s="668" t="s">
        <v>138</v>
      </c>
      <c r="D152" s="669"/>
      <c r="E152" s="669"/>
      <c r="F152" s="669"/>
      <c r="G152" s="669"/>
      <c r="H152" s="669"/>
      <c r="I152" s="669"/>
      <c r="J152" s="669"/>
      <c r="K152" s="669"/>
      <c r="L152" s="669"/>
      <c r="M152" s="670"/>
      <c r="BE152" s="75"/>
    </row>
    <row r="153" spans="1:57" ht="15" customHeight="1" thickTop="1">
      <c r="O153" s="416"/>
      <c r="P153" s="416"/>
      <c r="Q153" s="416"/>
      <c r="R153" s="416"/>
      <c r="S153" s="416"/>
      <c r="T153" s="416"/>
      <c r="U153" s="416"/>
    </row>
  </sheetData>
  <sheetProtection sheet="1" objects="1" scenarios="1"/>
  <mergeCells count="100">
    <mergeCell ref="D150:E150"/>
    <mergeCell ref="H150:I150"/>
    <mergeCell ref="K150:M150"/>
    <mergeCell ref="C152:M152"/>
    <mergeCell ref="D147:E147"/>
    <mergeCell ref="H147:I147"/>
    <mergeCell ref="K147:M147"/>
    <mergeCell ref="H148:I148"/>
    <mergeCell ref="K148:M148"/>
    <mergeCell ref="D149:E149"/>
    <mergeCell ref="K149:M149"/>
    <mergeCell ref="D151:E151"/>
    <mergeCell ref="F151:G151"/>
    <mergeCell ref="M142:N142"/>
    <mergeCell ref="C145:F145"/>
    <mergeCell ref="K145:M145"/>
    <mergeCell ref="D146:F146"/>
    <mergeCell ref="H146:J146"/>
    <mergeCell ref="K146:M146"/>
    <mergeCell ref="D141:K141"/>
    <mergeCell ref="M141:N141"/>
    <mergeCell ref="B84:E85"/>
    <mergeCell ref="F84:F85"/>
    <mergeCell ref="H84:K85"/>
    <mergeCell ref="L84:L85"/>
    <mergeCell ref="A89:C90"/>
    <mergeCell ref="A113:C114"/>
    <mergeCell ref="M138:N138"/>
    <mergeCell ref="D139:K139"/>
    <mergeCell ref="M139:N139"/>
    <mergeCell ref="D140:K140"/>
    <mergeCell ref="M140:N140"/>
    <mergeCell ref="W81:AB81"/>
    <mergeCell ref="A82:D82"/>
    <mergeCell ref="H82:K82"/>
    <mergeCell ref="Q82:T82"/>
    <mergeCell ref="W82:AB82"/>
    <mergeCell ref="M81:N82"/>
    <mergeCell ref="Q81:T81"/>
    <mergeCell ref="A81:D81"/>
    <mergeCell ref="E81:E82"/>
    <mergeCell ref="F81:G82"/>
    <mergeCell ref="H81:K81"/>
    <mergeCell ref="L81:L82"/>
    <mergeCell ref="M78:N78"/>
    <mergeCell ref="M79:N79"/>
    <mergeCell ref="B24:E25"/>
    <mergeCell ref="F24:F25"/>
    <mergeCell ref="H24:K25"/>
    <mergeCell ref="L24:L25"/>
    <mergeCell ref="M75:N75"/>
    <mergeCell ref="D76:K76"/>
    <mergeCell ref="D77:K77"/>
    <mergeCell ref="M77:N77"/>
    <mergeCell ref="D78:K78"/>
    <mergeCell ref="G11:G12"/>
    <mergeCell ref="N11:N12"/>
    <mergeCell ref="G13:H14"/>
    <mergeCell ref="L13:N14"/>
    <mergeCell ref="M1:N1"/>
    <mergeCell ref="D2:K2"/>
    <mergeCell ref="M2:N2"/>
    <mergeCell ref="D3:K3"/>
    <mergeCell ref="M3:N3"/>
    <mergeCell ref="M4:N4"/>
    <mergeCell ref="M5:N5"/>
    <mergeCell ref="H7:I8"/>
    <mergeCell ref="J7:L7"/>
    <mergeCell ref="M7:N8"/>
    <mergeCell ref="D4:K4"/>
    <mergeCell ref="C8:D9"/>
    <mergeCell ref="F15:F16"/>
    <mergeCell ref="I15:I16"/>
    <mergeCell ref="K15:K16"/>
    <mergeCell ref="N15:N16"/>
    <mergeCell ref="A16:D18"/>
    <mergeCell ref="F17:H18"/>
    <mergeCell ref="K17:N18"/>
    <mergeCell ref="J8:L8"/>
    <mergeCell ref="F9:F10"/>
    <mergeCell ref="I9:J10"/>
    <mergeCell ref="M9:N10"/>
    <mergeCell ref="G10:H10"/>
    <mergeCell ref="G9:H9"/>
    <mergeCell ref="L19:L20"/>
    <mergeCell ref="M76:N76"/>
    <mergeCell ref="M19:N20"/>
    <mergeCell ref="A21:D21"/>
    <mergeCell ref="E21:E22"/>
    <mergeCell ref="C19:D20"/>
    <mergeCell ref="H19:H20"/>
    <mergeCell ref="I19:I20"/>
    <mergeCell ref="J19:J20"/>
    <mergeCell ref="K19:K20"/>
    <mergeCell ref="F21:G22"/>
    <mergeCell ref="H21:K21"/>
    <mergeCell ref="L21:L22"/>
    <mergeCell ref="M21:N22"/>
    <mergeCell ref="A22:D22"/>
    <mergeCell ref="H22:K22"/>
  </mergeCells>
  <dataValidations disablePrompts="1" count="1">
    <dataValidation type="list" allowBlank="1" showInputMessage="1" showErrorMessage="1" sqref="K146:M146" xr:uid="{00000000-0002-0000-0300-000000000000}">
      <formula1>$S$9:$S$10</formula1>
    </dataValidation>
  </dataValidations>
  <pageMargins left="0.78740157480314965" right="0.39370078740157483" top="0.19685039370078741" bottom="0.19685039370078741" header="0.39370078740157483" footer="0.39370078740157483"/>
  <pageSetup paperSize="9" scale="59" fitToHeight="2" orientation="portrait" horizontalDpi="180" verticalDpi="180" r:id="rId1"/>
  <headerFooter alignWithMargins="0"/>
  <rowBreaks count="2" manualBreakCount="2">
    <brk id="74" max="13" man="1"/>
    <brk id="137" max="1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>
              <from>
                <xdr:col>0</xdr:col>
                <xdr:colOff>76200</xdr:colOff>
                <xdr:row>1</xdr:row>
                <xdr:rowOff>123825</xdr:rowOff>
              </from>
              <to>
                <xdr:col>2</xdr:col>
                <xdr:colOff>190500</xdr:colOff>
                <xdr:row>3</xdr:row>
                <xdr:rowOff>161925</xdr:rowOff>
              </to>
            </anchor>
          </objectPr>
        </oleObject>
      </mc:Choice>
      <mc:Fallback>
        <oleObject progId="Word.Picture.8" shapeId="4097" r:id="rId4"/>
      </mc:Fallback>
    </mc:AlternateContent>
    <mc:AlternateContent xmlns:mc="http://schemas.openxmlformats.org/markup-compatibility/2006">
      <mc:Choice Requires="x14">
        <oleObject progId="Word.Picture.8" shapeId="4098" r:id="rId6">
          <objectPr defaultSize="0" autoPict="0" r:id="rId5">
            <anchor moveWithCells="1">
              <from>
                <xdr:col>0</xdr:col>
                <xdr:colOff>19050</xdr:colOff>
                <xdr:row>75</xdr:row>
                <xdr:rowOff>133350</xdr:rowOff>
              </from>
              <to>
                <xdr:col>1</xdr:col>
                <xdr:colOff>581025</xdr:colOff>
                <xdr:row>77</xdr:row>
                <xdr:rowOff>85725</xdr:rowOff>
              </to>
            </anchor>
          </objectPr>
        </oleObject>
      </mc:Choice>
      <mc:Fallback>
        <oleObject progId="Word.Picture.8" shapeId="4098" r:id="rId6"/>
      </mc:Fallback>
    </mc:AlternateContent>
    <mc:AlternateContent xmlns:mc="http://schemas.openxmlformats.org/markup-compatibility/2006">
      <mc:Choice Requires="x14">
        <oleObject progId="Word.Picture.8" shapeId="4099" r:id="rId7">
          <objectPr defaultSize="0" autoPict="0" r:id="rId5">
            <anchor moveWithCells="1">
              <from>
                <xdr:col>0</xdr:col>
                <xdr:colOff>66675</xdr:colOff>
                <xdr:row>75</xdr:row>
                <xdr:rowOff>38100</xdr:rowOff>
              </from>
              <to>
                <xdr:col>2</xdr:col>
                <xdr:colOff>180975</xdr:colOff>
                <xdr:row>77</xdr:row>
                <xdr:rowOff>85725</xdr:rowOff>
              </to>
            </anchor>
          </objectPr>
        </oleObject>
      </mc:Choice>
      <mc:Fallback>
        <oleObject progId="Word.Picture.8" shapeId="4099" r:id="rId7"/>
      </mc:Fallback>
    </mc:AlternateContent>
    <mc:AlternateContent xmlns:mc="http://schemas.openxmlformats.org/markup-compatibility/2006">
      <mc:Choice Requires="x14">
        <oleObject progId="Word.Picture.8" shapeId="4101" r:id="rId8">
          <objectPr defaultSize="0" autoPict="0" r:id="rId5">
            <anchor moveWithCells="1">
              <from>
                <xdr:col>0</xdr:col>
                <xdr:colOff>247650</xdr:colOff>
                <xdr:row>138</xdr:row>
                <xdr:rowOff>76200</xdr:rowOff>
              </from>
              <to>
                <xdr:col>2</xdr:col>
                <xdr:colOff>304800</xdr:colOff>
                <xdr:row>140</xdr:row>
                <xdr:rowOff>114300</xdr:rowOff>
              </to>
            </anchor>
          </objectPr>
        </oleObject>
      </mc:Choice>
      <mc:Fallback>
        <oleObject progId="Word.Picture.8" shapeId="4101" r:id="rId8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22"/>
  <sheetViews>
    <sheetView showZeros="0" zoomScaleNormal="100" zoomScaleSheetLayoutView="72" workbookViewId="0">
      <selection activeCell="D19" sqref="D19"/>
    </sheetView>
  </sheetViews>
  <sheetFormatPr defaultColWidth="16" defaultRowHeight="15" customHeight="1"/>
  <cols>
    <col min="1" max="1" width="16" style="235" customWidth="1"/>
    <col min="2" max="8" width="16" style="286" customWidth="1"/>
    <col min="9" max="9" width="16" style="287" customWidth="1"/>
    <col min="10" max="16384" width="16" style="235"/>
  </cols>
  <sheetData>
    <row r="1" spans="1:29" ht="16.5" customHeight="1">
      <c r="A1" s="230"/>
      <c r="B1" s="231"/>
      <c r="C1" s="232"/>
      <c r="D1" s="231"/>
      <c r="E1" s="231"/>
      <c r="F1" s="231"/>
      <c r="G1" s="231"/>
      <c r="H1" s="231"/>
      <c r="I1" s="231"/>
      <c r="J1" s="233"/>
      <c r="K1" s="233"/>
      <c r="L1" s="231"/>
      <c r="M1" s="234"/>
      <c r="N1" s="231"/>
      <c r="O1" s="234"/>
    </row>
    <row r="2" spans="1:29" ht="16.5" customHeight="1">
      <c r="A2" s="236"/>
      <c r="B2" s="237"/>
      <c r="C2" s="238"/>
      <c r="D2" s="237"/>
      <c r="E2" s="239"/>
      <c r="F2" s="239"/>
      <c r="G2" s="237"/>
      <c r="H2" s="237" t="str">
        <f>RESUM!H2</f>
        <v>MAC QE 200 P</v>
      </c>
      <c r="I2" s="237"/>
      <c r="L2" s="240"/>
      <c r="M2" s="241"/>
      <c r="N2" s="240"/>
      <c r="O2" s="241"/>
    </row>
    <row r="3" spans="1:29" ht="16.5" customHeight="1">
      <c r="A3" s="236"/>
      <c r="B3" s="239"/>
      <c r="C3" s="242"/>
      <c r="D3" s="239"/>
      <c r="E3" s="239"/>
      <c r="F3" s="239"/>
      <c r="G3" s="239"/>
      <c r="H3" s="239"/>
      <c r="I3" s="239"/>
      <c r="L3" s="240"/>
      <c r="M3" s="80"/>
      <c r="N3" s="240"/>
      <c r="O3" s="80"/>
    </row>
    <row r="4" spans="1:29" ht="16.5" customHeight="1">
      <c r="A4" s="236"/>
      <c r="B4" s="243"/>
      <c r="C4" s="244"/>
      <c r="D4" s="243"/>
      <c r="E4" s="239"/>
      <c r="F4" s="239"/>
      <c r="G4" s="243"/>
      <c r="H4" s="243" t="s">
        <v>177</v>
      </c>
      <c r="I4" s="243"/>
      <c r="L4" s="240"/>
      <c r="M4" s="241"/>
      <c r="N4" s="240"/>
      <c r="O4" s="241"/>
    </row>
    <row r="5" spans="1:29" ht="16.5" customHeight="1">
      <c r="A5" s="236"/>
      <c r="B5" s="239"/>
      <c r="C5" s="242"/>
      <c r="D5" s="239"/>
      <c r="E5" s="239"/>
      <c r="F5" s="239"/>
      <c r="G5" s="239"/>
      <c r="H5" s="239"/>
      <c r="I5" s="239"/>
      <c r="L5" s="240"/>
      <c r="M5" s="245"/>
      <c r="N5" s="240" t="s">
        <v>139</v>
      </c>
      <c r="O5" s="245">
        <f>RESUM!O5</f>
        <v>45244</v>
      </c>
    </row>
    <row r="6" spans="1:29" ht="16.5" customHeight="1" thickBot="1">
      <c r="A6" s="246"/>
      <c r="B6" s="247"/>
      <c r="C6" s="248"/>
      <c r="D6" s="247"/>
      <c r="E6" s="247"/>
      <c r="F6" s="247"/>
      <c r="G6" s="247"/>
      <c r="H6" s="247"/>
      <c r="I6" s="247"/>
      <c r="J6" s="249"/>
      <c r="K6" s="249"/>
      <c r="L6" s="247"/>
      <c r="M6" s="250"/>
      <c r="N6" s="247"/>
      <c r="O6" s="250"/>
    </row>
    <row r="7" spans="1:29" s="255" customFormat="1" ht="16.5" customHeight="1">
      <c r="A7" s="251"/>
      <c r="B7" s="252"/>
      <c r="C7" s="252"/>
      <c r="D7" s="252"/>
      <c r="E7" s="252"/>
      <c r="F7" s="252"/>
      <c r="G7" s="252"/>
      <c r="H7" s="252"/>
      <c r="I7" s="253"/>
      <c r="J7" s="252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</row>
    <row r="8" spans="1:29" ht="16.5" customHeight="1">
      <c r="A8" s="256"/>
      <c r="B8" s="257" t="str">
        <f>'driving mode parameters'!B8</f>
        <v>MAC QE 200 P</v>
      </c>
      <c r="C8" s="257" t="str">
        <f>'driving mode parameters'!C8</f>
        <v>MAC QE 200 P</v>
      </c>
      <c r="D8" s="257" t="str">
        <f>'driving mode parameters'!D8</f>
        <v>MAC QE 200 P</v>
      </c>
      <c r="E8" s="257" t="str">
        <f>'driving mode parameters'!E8</f>
        <v>MAC QE 200 P</v>
      </c>
      <c r="F8" s="257" t="str">
        <f>'driving mode parameters'!F8</f>
        <v>MAC QE 200 P</v>
      </c>
      <c r="G8" s="257" t="str">
        <f>'driving mode parameters'!G8</f>
        <v>MAC QE 200 P</v>
      </c>
      <c r="H8" s="257" t="str">
        <f>'driving mode parameters'!H8</f>
        <v>MAC QE 200 P</v>
      </c>
      <c r="I8" s="513" t="str">
        <f>'driving mode parameters'!I8</f>
        <v>MAC QE 200 P</v>
      </c>
      <c r="J8" s="513" t="str">
        <f>'driving mode parameters'!J8</f>
        <v>MAC QE 200 P</v>
      </c>
      <c r="K8" s="513" t="str">
        <f>'driving mode parameters'!K8</f>
        <v>MAC QE 200 P</v>
      </c>
      <c r="L8" s="257">
        <f>'driving mode parameters'!L8</f>
        <v>0</v>
      </c>
      <c r="M8" s="427">
        <f>'driving mode parameters'!M8</f>
        <v>0</v>
      </c>
      <c r="N8" s="257">
        <f>'driving mode parameters'!N8</f>
        <v>0</v>
      </c>
      <c r="O8" s="427">
        <f>'driving mode parameters'!O8</f>
        <v>0</v>
      </c>
    </row>
    <row r="9" spans="1:29" s="259" customFormat="1" ht="16.5" customHeight="1">
      <c r="A9" s="258"/>
      <c r="B9" s="386" t="str">
        <f>'driving mode parameters'!B9</f>
        <v>A61</v>
      </c>
      <c r="C9" s="386" t="str">
        <f>'driving mode parameters'!C9</f>
        <v>B61</v>
      </c>
      <c r="D9" s="386" t="str">
        <f>'driving mode parameters'!D9</f>
        <v>C61</v>
      </c>
      <c r="E9" s="386" t="str">
        <f>'driving mode parameters'!E9</f>
        <v>D61</v>
      </c>
      <c r="F9" s="386" t="str">
        <f>'driving mode parameters'!F9</f>
        <v>E61</v>
      </c>
      <c r="G9" s="386" t="str">
        <f>'driving mode parameters'!G9</f>
        <v>F61</v>
      </c>
      <c r="H9" s="386" t="str">
        <f>'driving mode parameters'!H9</f>
        <v>G61</v>
      </c>
      <c r="I9" s="503" t="str">
        <f>'driving mode parameters'!I9</f>
        <v>H61</v>
      </c>
      <c r="J9" s="503" t="str">
        <f>'driving mode parameters'!J9</f>
        <v>E62</v>
      </c>
      <c r="K9" s="503" t="str">
        <f>'driving mode parameters'!K9</f>
        <v>F62</v>
      </c>
      <c r="L9" s="503">
        <f>'driving mode parameters'!L9</f>
        <v>0</v>
      </c>
      <c r="M9" s="503">
        <f>'driving mode parameters'!M9</f>
        <v>0</v>
      </c>
      <c r="N9" s="503">
        <f>'driving mode parameters'!N9</f>
        <v>0</v>
      </c>
      <c r="O9" s="503">
        <f>'driving mode parameters'!O9</f>
        <v>0</v>
      </c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</row>
    <row r="10" spans="1:29" ht="16.5" customHeight="1">
      <c r="A10" s="294" t="str">
        <f>'driving mode parameters'!A10</f>
        <v>Poles</v>
      </c>
      <c r="B10" s="260">
        <f>'driving mode parameters'!B10</f>
        <v>6</v>
      </c>
      <c r="C10" s="260">
        <f>'driving mode parameters'!U12</f>
        <v>6</v>
      </c>
      <c r="D10" s="260">
        <f>'driving mode parameters'!V12</f>
        <v>6</v>
      </c>
      <c r="E10" s="260">
        <f>'driving mode parameters'!E10</f>
        <v>6</v>
      </c>
      <c r="F10" s="260">
        <f>'driving mode parameters'!F10</f>
        <v>6</v>
      </c>
      <c r="G10" s="260">
        <f>'driving mode parameters'!G10</f>
        <v>6</v>
      </c>
      <c r="H10" s="260">
        <f>'driving mode parameters'!H10</f>
        <v>6</v>
      </c>
      <c r="I10" s="504">
        <f>'driving mode parameters'!I10</f>
        <v>6</v>
      </c>
      <c r="J10" s="504">
        <f>'driving mode parameters'!J10</f>
        <v>6</v>
      </c>
      <c r="K10" s="504">
        <f>'driving mode parameters'!K10</f>
        <v>6</v>
      </c>
      <c r="L10" s="504">
        <f>'driving mode parameters'!L10</f>
        <v>6</v>
      </c>
      <c r="M10" s="504">
        <f>'driving mode parameters'!M10</f>
        <v>6</v>
      </c>
      <c r="N10" s="504">
        <f>'driving mode parameters'!N10</f>
        <v>6</v>
      </c>
      <c r="O10" s="504">
        <f>'driving mode parameters'!O10</f>
        <v>6</v>
      </c>
    </row>
    <row r="11" spans="1:29" s="263" customFormat="1" ht="16.5" customHeight="1">
      <c r="A11" s="261" t="s">
        <v>76</v>
      </c>
      <c r="B11" s="262">
        <f>'absorbing mode datasheet'!B27</f>
        <v>705</v>
      </c>
      <c r="C11" s="262">
        <f>'absorbing mode datasheet'!B28</f>
        <v>705</v>
      </c>
      <c r="D11" s="262">
        <f>'absorbing mode datasheet'!B29</f>
        <v>705</v>
      </c>
      <c r="E11" s="262">
        <f>'absorbing mode datasheet'!B30</f>
        <v>705</v>
      </c>
      <c r="F11" s="262">
        <f>'absorbing mode datasheet'!B31</f>
        <v>705</v>
      </c>
      <c r="G11" s="262">
        <f>'absorbing mode datasheet'!B32</f>
        <v>705</v>
      </c>
      <c r="H11" s="262">
        <f>'absorbing mode datasheet'!B33</f>
        <v>705</v>
      </c>
      <c r="I11" s="505">
        <f>'absorbing mode datasheet'!B34</f>
        <v>705</v>
      </c>
      <c r="J11" s="505">
        <f>'absorbing mode datasheet'!B35</f>
        <v>650</v>
      </c>
      <c r="K11" s="505">
        <f>'absorbing mode datasheet'!B36</f>
        <v>600</v>
      </c>
      <c r="L11" s="505">
        <f>'absorbing mode datasheet'!B37</f>
        <v>0</v>
      </c>
      <c r="M11" s="505">
        <f>'absorbing mode datasheet'!B40</f>
        <v>0</v>
      </c>
      <c r="N11" s="505">
        <f>'absorbing mode datasheet'!B41</f>
        <v>0</v>
      </c>
      <c r="O11" s="505">
        <f>'absorbing mode datasheet'!B42</f>
        <v>0</v>
      </c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</row>
    <row r="12" spans="1:29" ht="16.5" customHeight="1">
      <c r="A12" s="256" t="s">
        <v>79</v>
      </c>
      <c r="B12" s="264">
        <f>'absorbing mode datasheet'!E27</f>
        <v>600</v>
      </c>
      <c r="C12" s="264">
        <f>'absorbing mode datasheet'!E28</f>
        <v>720</v>
      </c>
      <c r="D12" s="264">
        <f>'absorbing mode datasheet'!E29</f>
        <v>860</v>
      </c>
      <c r="E12" s="264">
        <f>'absorbing mode datasheet'!E30</f>
        <v>1000</v>
      </c>
      <c r="F12" s="264">
        <f>'absorbing mode datasheet'!E31</f>
        <v>1220</v>
      </c>
      <c r="G12" s="264">
        <f>'absorbing mode datasheet'!E32</f>
        <v>1360</v>
      </c>
      <c r="H12" s="264">
        <f>'absorbing mode datasheet'!E33</f>
        <v>1540</v>
      </c>
      <c r="I12" s="506">
        <f>'absorbing mode datasheet'!E34</f>
        <v>1780</v>
      </c>
      <c r="J12" s="506">
        <f>'absorbing mode datasheet'!E35</f>
        <v>2093.4639999999999</v>
      </c>
      <c r="K12" s="506">
        <f>'absorbing mode datasheet'!E36</f>
        <v>2332.4199999999996</v>
      </c>
      <c r="L12" s="506" t="e">
        <f>'absorbing mode datasheet'!E37</f>
        <v>#DIV/0!</v>
      </c>
      <c r="M12" s="506" t="e">
        <f>'absorbing mode datasheet'!E40</f>
        <v>#DIV/0!</v>
      </c>
      <c r="N12" s="506">
        <f>'absorbing mode datasheet'!E41</f>
        <v>0</v>
      </c>
      <c r="O12" s="506">
        <f>'absorbing mode datasheet'!E42</f>
        <v>0</v>
      </c>
    </row>
    <row r="13" spans="1:29" s="268" customFormat="1" ht="16.5" customHeight="1">
      <c r="A13" s="265" t="s">
        <v>78</v>
      </c>
      <c r="B13" s="266">
        <f>B12*B11*PI()/30000</f>
        <v>44.296456415616085</v>
      </c>
      <c r="C13" s="266">
        <f t="shared" ref="C13:J13" si="0">C12*C11*PI()/30000</f>
        <v>53.155747698739304</v>
      </c>
      <c r="D13" s="266">
        <f t="shared" si="0"/>
        <v>63.491587529049724</v>
      </c>
      <c r="E13" s="266">
        <f t="shared" si="0"/>
        <v>73.827427359360129</v>
      </c>
      <c r="F13" s="266">
        <f t="shared" si="0"/>
        <v>90.069461378419362</v>
      </c>
      <c r="G13" s="266">
        <f t="shared" si="0"/>
        <v>100.4053012087298</v>
      </c>
      <c r="H13" s="266">
        <f t="shared" si="0"/>
        <v>113.69423813341461</v>
      </c>
      <c r="I13" s="507">
        <f t="shared" si="0"/>
        <v>131.41282069966104</v>
      </c>
      <c r="J13" s="507">
        <f t="shared" si="0"/>
        <v>142.49757433068518</v>
      </c>
      <c r="K13" s="507">
        <f>K12*K11*PI()/30000</f>
        <v>146.55027074171807</v>
      </c>
      <c r="L13" s="507" t="e">
        <f>L12*L11*PI()/30000</f>
        <v>#DIV/0!</v>
      </c>
      <c r="M13" s="507" t="e">
        <f>M12*M11*PI()/30000</f>
        <v>#DIV/0!</v>
      </c>
      <c r="N13" s="507">
        <f>N12*N11*PI()/30000</f>
        <v>0</v>
      </c>
      <c r="O13" s="507">
        <f>O12*O11*PI()/30000</f>
        <v>0</v>
      </c>
      <c r="P13" s="267"/>
      <c r="Q13" s="267"/>
      <c r="R13" s="267"/>
      <c r="S13" s="267"/>
      <c r="T13" s="267"/>
      <c r="U13" s="267"/>
      <c r="V13" s="267"/>
      <c r="W13" s="267"/>
      <c r="X13" s="267"/>
      <c r="Y13" s="267"/>
      <c r="Z13" s="267"/>
      <c r="AA13" s="267"/>
      <c r="AB13" s="267"/>
      <c r="AC13" s="267"/>
    </row>
    <row r="14" spans="1:29" s="263" customFormat="1" ht="16.5" customHeight="1">
      <c r="A14" s="261" t="s">
        <v>128</v>
      </c>
      <c r="B14" s="262">
        <f>'absorbing mode datasheet'!$F$21</f>
        <v>400</v>
      </c>
      <c r="C14" s="262">
        <f>'absorbing mode datasheet'!$F$21</f>
        <v>400</v>
      </c>
      <c r="D14" s="262">
        <f>'absorbing mode datasheet'!$F$21</f>
        <v>400</v>
      </c>
      <c r="E14" s="262">
        <f>'absorbing mode datasheet'!$F$21</f>
        <v>400</v>
      </c>
      <c r="F14" s="262">
        <f>'absorbing mode datasheet'!$F$21</f>
        <v>400</v>
      </c>
      <c r="G14" s="262">
        <f>'absorbing mode datasheet'!$F$21</f>
        <v>400</v>
      </c>
      <c r="H14" s="262">
        <f>'absorbing mode datasheet'!$F$21</f>
        <v>400</v>
      </c>
      <c r="I14" s="505">
        <f>'absorbing mode datasheet'!$F$21</f>
        <v>400</v>
      </c>
      <c r="J14" s="505">
        <f>'absorbing mode datasheet'!$F$21</f>
        <v>400</v>
      </c>
      <c r="K14" s="505">
        <f>'absorbing mode datasheet'!$F$21</f>
        <v>400</v>
      </c>
      <c r="L14" s="505">
        <f>'absorbing mode datasheet'!$F$21</f>
        <v>400</v>
      </c>
      <c r="M14" s="505">
        <f>'absorbing mode datasheet'!$F$21</f>
        <v>400</v>
      </c>
      <c r="N14" s="505">
        <f>'absorbing mode datasheet'!$F$21</f>
        <v>400</v>
      </c>
      <c r="O14" s="505">
        <f>'absorbing mode datasheet'!$F$21</f>
        <v>400</v>
      </c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/>
      <c r="AA14" s="235"/>
      <c r="AB14" s="235"/>
      <c r="AC14" s="235"/>
    </row>
    <row r="15" spans="1:29" s="267" customFormat="1" ht="16.5" customHeight="1">
      <c r="A15" s="269" t="s">
        <v>32</v>
      </c>
      <c r="B15" s="270">
        <f>'absorbing mode datasheet'!C27</f>
        <v>82.933161945902029</v>
      </c>
      <c r="C15" s="270">
        <f>'absorbing mode datasheet'!C28</f>
        <v>99.215176532137278</v>
      </c>
      <c r="D15" s="270">
        <f>'absorbing mode datasheet'!C29</f>
        <v>114.22319796676634</v>
      </c>
      <c r="E15" s="270">
        <f>'absorbing mode datasheet'!C30</f>
        <v>134.94616792452854</v>
      </c>
      <c r="F15" s="270">
        <f>'absorbing mode datasheet'!C31</f>
        <v>164.80704828666907</v>
      </c>
      <c r="G15" s="270">
        <f>'absorbing mode datasheet'!C32</f>
        <v>185.40753107296055</v>
      </c>
      <c r="H15" s="270">
        <f>'absorbing mode datasheet'!C33</f>
        <v>211.95146878333776</v>
      </c>
      <c r="I15" s="508">
        <f>'absorbing mode datasheet'!C34</f>
        <v>247.42495234684944</v>
      </c>
      <c r="J15" s="508">
        <f>'absorbing mode datasheet'!C35</f>
        <v>270.17449759708887</v>
      </c>
      <c r="K15" s="508">
        <f>'absorbing mode datasheet'!C36</f>
        <v>288.62162127015864</v>
      </c>
      <c r="L15" s="508">
        <f>'absorbing mode datasheet'!C37</f>
        <v>0</v>
      </c>
      <c r="M15" s="508">
        <f>'absorbing mode datasheet'!C40</f>
        <v>0</v>
      </c>
      <c r="N15" s="508">
        <f>'absorbing mode datasheet'!C41</f>
        <v>0</v>
      </c>
      <c r="O15" s="508">
        <f>'absorbing mode datasheet'!C42</f>
        <v>0</v>
      </c>
    </row>
    <row r="16" spans="1:29" ht="16.5" customHeight="1">
      <c r="A16" s="256" t="s">
        <v>80</v>
      </c>
      <c r="B16" s="270">
        <f>'absorbing mode datasheet'!F27</f>
        <v>29</v>
      </c>
      <c r="C16" s="270">
        <f>'absorbing mode datasheet'!F28</f>
        <v>35</v>
      </c>
      <c r="D16" s="270">
        <f>'absorbing mode datasheet'!F29</f>
        <v>42</v>
      </c>
      <c r="E16" s="270">
        <f>'absorbing mode datasheet'!F30</f>
        <v>49</v>
      </c>
      <c r="F16" s="270">
        <f>'absorbing mode datasheet'!F31</f>
        <v>60</v>
      </c>
      <c r="G16" s="270">
        <f>'absorbing mode datasheet'!F32</f>
        <v>67</v>
      </c>
      <c r="H16" s="270">
        <f>'absorbing mode datasheet'!F33</f>
        <v>76</v>
      </c>
      <c r="I16" s="508">
        <f>'absorbing mode datasheet'!F34</f>
        <v>88</v>
      </c>
      <c r="J16" s="508">
        <f>'absorbing mode datasheet'!F35</f>
        <v>104</v>
      </c>
      <c r="K16" s="508">
        <f>'absorbing mode datasheet'!F36</f>
        <v>116</v>
      </c>
      <c r="L16" s="508" t="e">
        <f>'absorbing mode datasheet'!F37</f>
        <v>#DIV/0!</v>
      </c>
      <c r="M16" s="508" t="e">
        <f>'absorbing mode datasheet'!F40</f>
        <v>#DIV/0!</v>
      </c>
      <c r="N16" s="508">
        <f>'absorbing mode datasheet'!F41</f>
        <v>0</v>
      </c>
      <c r="O16" s="508">
        <f>'absorbing mode datasheet'!F42</f>
        <v>0</v>
      </c>
    </row>
    <row r="17" spans="1:29" ht="16.5" customHeight="1">
      <c r="A17" s="256" t="s">
        <v>131</v>
      </c>
      <c r="B17" s="271">
        <f>B13*B18*1000/B14/B15/3^0.5</f>
        <v>0.71905479466779554</v>
      </c>
      <c r="C17" s="271">
        <f t="shared" ref="C17:M17" si="1">C13*C18*1000/C14/C15/3^0.5</f>
        <v>0.7284764251806829</v>
      </c>
      <c r="D17" s="271">
        <f t="shared" si="1"/>
        <v>0.7614646309950186</v>
      </c>
      <c r="E17" s="271">
        <f t="shared" si="1"/>
        <v>0.75359957697497004</v>
      </c>
      <c r="F17" s="271">
        <f t="shared" si="1"/>
        <v>0.75700513343785547</v>
      </c>
      <c r="G17" s="271">
        <f t="shared" si="1"/>
        <v>0.75191059768704105</v>
      </c>
      <c r="H17" s="271">
        <f t="shared" si="1"/>
        <v>0.74670582032354449</v>
      </c>
      <c r="I17" s="509">
        <f t="shared" si="1"/>
        <v>0.74087823779592266</v>
      </c>
      <c r="J17" s="509">
        <f t="shared" si="1"/>
        <v>0.7370557406617092</v>
      </c>
      <c r="K17" s="509">
        <f t="shared" si="1"/>
        <v>0.70959152425520777</v>
      </c>
      <c r="L17" s="509" t="e">
        <f t="shared" si="1"/>
        <v>#DIV/0!</v>
      </c>
      <c r="M17" s="509" t="e">
        <f t="shared" si="1"/>
        <v>#DIV/0!</v>
      </c>
      <c r="N17" s="509" t="e">
        <f t="shared" ref="N17:O17" si="2">N13*N18*1000/N14/N15/3^0.5</f>
        <v>#DIV/0!</v>
      </c>
      <c r="O17" s="509" t="e">
        <f t="shared" si="2"/>
        <v>#DIV/0!</v>
      </c>
    </row>
    <row r="18" spans="1:29" s="259" customFormat="1" ht="16.5" customHeight="1">
      <c r="A18" s="258" t="s">
        <v>141</v>
      </c>
      <c r="B18" s="272">
        <f>(B13*1000-3*B23/1000*B15^2-3*B24/1000*(B15^2-B32^2)-3*(2*PI()*B16*B28/1000*B32)^2/B25)/B13/1000</f>
        <v>0.93269971411700159</v>
      </c>
      <c r="C18" s="272">
        <f t="shared" ref="C18:M18" si="3">(C13*1000-3*C23/1000*C15^2-3*C24/1000*(C15^2-C32^2)-3*(2*PI()*C16*C28/1000*C32)^2/C25)/C13/1000</f>
        <v>0.94202840551921041</v>
      </c>
      <c r="D18" s="272">
        <f t="shared" si="3"/>
        <v>0.94909237303868599</v>
      </c>
      <c r="E18" s="272">
        <f t="shared" si="3"/>
        <v>0.95434210727851276</v>
      </c>
      <c r="F18" s="272">
        <f t="shared" si="3"/>
        <v>0.95966058697491552</v>
      </c>
      <c r="G18" s="272">
        <f t="shared" si="3"/>
        <v>0.9619611926016175</v>
      </c>
      <c r="H18" s="272">
        <f t="shared" si="3"/>
        <v>0.96442426759860878</v>
      </c>
      <c r="I18" s="510">
        <f t="shared" si="3"/>
        <v>0.9664362575854526</v>
      </c>
      <c r="J18" s="510">
        <f t="shared" si="3"/>
        <v>0.96818384710806826</v>
      </c>
      <c r="K18" s="510">
        <f t="shared" si="3"/>
        <v>0.96821381456879374</v>
      </c>
      <c r="L18" s="510" t="e">
        <f t="shared" si="3"/>
        <v>#DIV/0!</v>
      </c>
      <c r="M18" s="510" t="e">
        <f t="shared" si="3"/>
        <v>#DIV/0!</v>
      </c>
      <c r="N18" s="510" t="e">
        <f t="shared" ref="N18:O18" si="4">(N13*1000-3*N23/1000*N15^2-3*N24/1000*(N15^2-N32^2)-3*(2*PI()*N16*N28/1000*N32)^2/N25)/N13/1000</f>
        <v>#DIV/0!</v>
      </c>
      <c r="O18" s="510" t="e">
        <f t="shared" si="4"/>
        <v>#DIV/0!</v>
      </c>
      <c r="P18" s="235"/>
      <c r="Q18" s="235"/>
      <c r="R18" s="235"/>
      <c r="S18" s="235"/>
      <c r="T18" s="235"/>
      <c r="U18" s="235"/>
      <c r="V18" s="235"/>
      <c r="W18" s="235"/>
      <c r="X18" s="235"/>
      <c r="Y18" s="235"/>
      <c r="Z18" s="235"/>
      <c r="AA18" s="235"/>
      <c r="AB18" s="235"/>
      <c r="AC18" s="235"/>
    </row>
    <row r="19" spans="1:29" ht="16.5" customHeight="1">
      <c r="A19" s="256" t="s">
        <v>142</v>
      </c>
      <c r="B19" s="273">
        <f>'driving mode parameters'!B19</f>
        <v>1.315005809909723</v>
      </c>
      <c r="C19" s="273">
        <f>'driving mode parameters'!C19</f>
        <v>1.315005809909723</v>
      </c>
      <c r="D19" s="273">
        <f>'driving mode parameters'!D19</f>
        <v>1.315005809909723</v>
      </c>
      <c r="E19" s="273">
        <f>'driving mode parameters'!E19</f>
        <v>1.315005809909723</v>
      </c>
      <c r="F19" s="273">
        <f>'driving mode parameters'!F19</f>
        <v>1.315005809909723</v>
      </c>
      <c r="G19" s="273">
        <f>'driving mode parameters'!G19</f>
        <v>1.315005809909723</v>
      </c>
      <c r="H19" s="273">
        <f>'driving mode parameters'!H19</f>
        <v>1.315005809909723</v>
      </c>
      <c r="I19" s="511">
        <f>'driving mode parameters'!I19</f>
        <v>1.315005809909723</v>
      </c>
      <c r="J19" s="511">
        <f>'driving mode parameters'!J19</f>
        <v>1.315005809909723</v>
      </c>
      <c r="K19" s="511">
        <f>'driving mode parameters'!K19</f>
        <v>1.315005809909723</v>
      </c>
      <c r="L19" s="511">
        <f>'driving mode parameters'!L19</f>
        <v>0</v>
      </c>
      <c r="M19" s="511">
        <f>'driving mode parameters'!M19</f>
        <v>0</v>
      </c>
      <c r="N19" s="511">
        <f>'driving mode parameters'!N19</f>
        <v>0</v>
      </c>
      <c r="O19" s="511">
        <f>'driving mode parameters'!O19</f>
        <v>0</v>
      </c>
    </row>
    <row r="20" spans="1:29" s="255" customFormat="1" ht="16.5" customHeight="1">
      <c r="A20" s="274"/>
      <c r="B20" s="252" t="str">
        <f>'driving mode parameters'!B20</f>
        <v>ESQUEMA EQUIVALENTE POR FASE EN ESTRELLA / PHASE STAR EQUIVALENT SCHEMA</v>
      </c>
      <c r="C20" s="275"/>
      <c r="D20" s="275"/>
      <c r="E20" s="275"/>
      <c r="F20" s="275"/>
      <c r="G20" s="275"/>
      <c r="H20" s="275"/>
      <c r="I20" s="512"/>
      <c r="J20" s="512"/>
      <c r="K20" s="512"/>
      <c r="L20" s="512"/>
      <c r="M20" s="512"/>
      <c r="N20" s="512"/>
      <c r="O20" s="512"/>
      <c r="P20" s="254"/>
      <c r="Q20" s="254"/>
      <c r="R20" s="254"/>
      <c r="S20" s="254"/>
      <c r="T20" s="254"/>
      <c r="U20" s="254"/>
      <c r="V20" s="254"/>
      <c r="W20" s="254"/>
      <c r="X20" s="254"/>
      <c r="Y20" s="254"/>
      <c r="Z20" s="254"/>
      <c r="AA20" s="254"/>
      <c r="AB20" s="254"/>
      <c r="AC20" s="254"/>
    </row>
    <row r="21" spans="1:29" s="263" customFormat="1" ht="16.5" customHeight="1">
      <c r="A21" s="261"/>
      <c r="B21" s="257" t="str">
        <f>'driving mode parameters'!B21</f>
        <v>MAC QE 200 P</v>
      </c>
      <c r="C21" s="257" t="str">
        <f>'driving mode parameters'!C21</f>
        <v>MAC QE 200 P</v>
      </c>
      <c r="D21" s="257" t="str">
        <f>'driving mode parameters'!D21</f>
        <v>MAC QE 200 P</v>
      </c>
      <c r="E21" s="257" t="str">
        <f>'driving mode parameters'!E21</f>
        <v>MAC QE 200 P</v>
      </c>
      <c r="F21" s="257" t="str">
        <f>'driving mode parameters'!F21</f>
        <v>MAC QE 200 P</v>
      </c>
      <c r="G21" s="257" t="str">
        <f>'driving mode parameters'!G21</f>
        <v>MAC QE 200 P</v>
      </c>
      <c r="H21" s="257" t="str">
        <f>'driving mode parameters'!H21</f>
        <v>MAC QE 200 P</v>
      </c>
      <c r="I21" s="513" t="str">
        <f>'driving mode parameters'!I21</f>
        <v>MAC QE 200 P</v>
      </c>
      <c r="J21" s="513" t="str">
        <f>'driving mode parameters'!J21</f>
        <v>MAC QE 200 P</v>
      </c>
      <c r="K21" s="513" t="str">
        <f>'driving mode parameters'!K21</f>
        <v>MAC QE 200 P</v>
      </c>
      <c r="L21" s="513">
        <f>'driving mode parameters'!L21</f>
        <v>0</v>
      </c>
      <c r="M21" s="513">
        <f>'driving mode parameters'!M21</f>
        <v>0</v>
      </c>
      <c r="N21" s="513">
        <f>'driving mode parameters'!N21</f>
        <v>0</v>
      </c>
      <c r="O21" s="513">
        <f>'driving mode parameters'!O21</f>
        <v>0</v>
      </c>
      <c r="P21" s="235"/>
      <c r="Q21" s="235"/>
      <c r="R21" s="235"/>
      <c r="S21" s="235"/>
      <c r="T21" s="235"/>
      <c r="U21" s="235"/>
      <c r="V21" s="235"/>
      <c r="W21" s="235"/>
      <c r="X21" s="235"/>
      <c r="Y21" s="235"/>
      <c r="Z21" s="235"/>
      <c r="AA21" s="235"/>
      <c r="AB21" s="235"/>
      <c r="AC21" s="235"/>
    </row>
    <row r="22" spans="1:29" s="259" customFormat="1" ht="16.5" customHeight="1">
      <c r="A22" s="258"/>
      <c r="B22" s="386" t="str">
        <f>'driving mode parameters'!B22</f>
        <v>A61</v>
      </c>
      <c r="C22" s="386" t="str">
        <f>'driving mode parameters'!C22</f>
        <v>B61</v>
      </c>
      <c r="D22" s="386" t="str">
        <f>'driving mode parameters'!D22</f>
        <v>C61</v>
      </c>
      <c r="E22" s="386" t="str">
        <f>'driving mode parameters'!E22</f>
        <v>D61</v>
      </c>
      <c r="F22" s="386" t="str">
        <f>'driving mode parameters'!F22</f>
        <v>E61</v>
      </c>
      <c r="G22" s="386" t="str">
        <f>'driving mode parameters'!G22</f>
        <v>F61</v>
      </c>
      <c r="H22" s="386" t="str">
        <f>'driving mode parameters'!H22</f>
        <v>G61</v>
      </c>
      <c r="I22" s="503" t="str">
        <f>'driving mode parameters'!I22</f>
        <v>H61</v>
      </c>
      <c r="J22" s="503" t="str">
        <f>'driving mode parameters'!J22</f>
        <v>E62</v>
      </c>
      <c r="K22" s="503" t="str">
        <f>'driving mode parameters'!K22</f>
        <v>F62</v>
      </c>
      <c r="L22" s="503">
        <f>'driving mode parameters'!L22</f>
        <v>0</v>
      </c>
      <c r="M22" s="503">
        <f>'driving mode parameters'!M22</f>
        <v>0</v>
      </c>
      <c r="N22" s="503">
        <f>'driving mode parameters'!N22</f>
        <v>0</v>
      </c>
      <c r="O22" s="503">
        <f>'driving mode parameters'!O22</f>
        <v>0</v>
      </c>
      <c r="P22" s="235"/>
      <c r="Q22" s="235"/>
      <c r="R22" s="235"/>
      <c r="S22" s="235"/>
      <c r="T22" s="235"/>
      <c r="U22" s="235"/>
      <c r="V22" s="235"/>
      <c r="W22" s="235"/>
      <c r="X22" s="235"/>
      <c r="Y22" s="235"/>
      <c r="Z22" s="235"/>
      <c r="AA22" s="235"/>
      <c r="AB22" s="235"/>
      <c r="AC22" s="235"/>
    </row>
    <row r="23" spans="1:29" s="263" customFormat="1" ht="16.5" customHeight="1">
      <c r="A23" s="261" t="s">
        <v>143</v>
      </c>
      <c r="B23" s="276">
        <f>'driving mode parameters'!B23</f>
        <v>66.724863859764341</v>
      </c>
      <c r="C23" s="276">
        <f>'driving mode parameters'!C23</f>
        <v>45.945448073922975</v>
      </c>
      <c r="D23" s="276">
        <f>'driving mode parameters'!D23</f>
        <v>34.278316719627725</v>
      </c>
      <c r="E23" s="276">
        <f>'driving mode parameters'!E23</f>
        <v>24.465738932004356</v>
      </c>
      <c r="F23" s="276">
        <f>'driving mode parameters'!F23</f>
        <v>16.532384281627166</v>
      </c>
      <c r="G23" s="276">
        <f>'driving mode parameters'!G23</f>
        <v>13.185177405916406</v>
      </c>
      <c r="H23" s="276">
        <f>'driving mode parameters'!H23</f>
        <v>9.9783456992589272</v>
      </c>
      <c r="I23" s="514">
        <f>'driving mode parameters'!I23</f>
        <v>7.4138737621960376</v>
      </c>
      <c r="J23" s="514">
        <f>'driving mode parameters'!J23</f>
        <v>5.5107947605423897</v>
      </c>
      <c r="K23" s="514">
        <f>'driving mode parameters'!K23</f>
        <v>4.3950591353054671</v>
      </c>
      <c r="L23" s="514">
        <f>'driving mode parameters'!L23</f>
        <v>0</v>
      </c>
      <c r="M23" s="514">
        <f>'driving mode parameters'!M23</f>
        <v>0</v>
      </c>
      <c r="N23" s="514">
        <f>'driving mode parameters'!N23</f>
        <v>0</v>
      </c>
      <c r="O23" s="514">
        <f>'driving mode parameters'!O23</f>
        <v>0</v>
      </c>
      <c r="P23" s="235"/>
      <c r="Q23" s="235"/>
      <c r="R23" s="235"/>
      <c r="S23" s="235"/>
      <c r="T23" s="235"/>
      <c r="U23" s="235"/>
      <c r="V23" s="235"/>
      <c r="W23" s="235"/>
      <c r="X23" s="235"/>
      <c r="Y23" s="235"/>
      <c r="Z23" s="235"/>
      <c r="AA23" s="235"/>
      <c r="AB23" s="235"/>
      <c r="AC23" s="235"/>
    </row>
    <row r="24" spans="1:29" ht="16.5" customHeight="1">
      <c r="A24" s="256" t="s">
        <v>144</v>
      </c>
      <c r="B24" s="270">
        <f>'driving mode parameters'!B24</f>
        <v>79.917523756946395</v>
      </c>
      <c r="C24" s="270">
        <f>'driving mode parameters'!C24</f>
        <v>55.498280386768336</v>
      </c>
      <c r="D24" s="270">
        <f>'driving mode parameters'!D24</f>
        <v>41.684733735065898</v>
      </c>
      <c r="E24" s="270">
        <f>'driving mode parameters'!E24</f>
        <v>29.845633367012439</v>
      </c>
      <c r="F24" s="270">
        <f>'driving mode parameters'!F24</f>
        <v>19.979380939236602</v>
      </c>
      <c r="G24" s="270">
        <f>'driving mode parameters'!G24</f>
        <v>15.786098601447328</v>
      </c>
      <c r="H24" s="270">
        <f>'driving mode parameters'!H24</f>
        <v>12.086288719892346</v>
      </c>
      <c r="I24" s="508">
        <f>'driving mode parameters'!I24</f>
        <v>8.8797248618829308</v>
      </c>
      <c r="J24" s="508">
        <f>'driving mode parameters'!J24</f>
        <v>6.6597936464122007</v>
      </c>
      <c r="K24" s="508">
        <f>'driving mode parameters'!K24</f>
        <v>5.2620328671491094</v>
      </c>
      <c r="L24" s="508">
        <f>'driving mode parameters'!L24</f>
        <v>0</v>
      </c>
      <c r="M24" s="508">
        <f>'driving mode parameters'!M24</f>
        <v>0</v>
      </c>
      <c r="N24" s="508">
        <f>'driving mode parameters'!N24</f>
        <v>0</v>
      </c>
      <c r="O24" s="508">
        <f>'driving mode parameters'!O24</f>
        <v>0</v>
      </c>
    </row>
    <row r="25" spans="1:29" ht="16.5" customHeight="1">
      <c r="A25" s="256" t="s">
        <v>145</v>
      </c>
      <c r="B25" s="270">
        <f>'driving mode parameters'!B25</f>
        <v>296.49103117856657</v>
      </c>
      <c r="C25" s="270">
        <f>'driving mode parameters'!C25</f>
        <v>241.92750863366794</v>
      </c>
      <c r="D25" s="270">
        <f>'driving mode parameters'!D25</f>
        <v>206.96989398326392</v>
      </c>
      <c r="E25" s="270">
        <f>'driving mode parameters'!E25</f>
        <v>167.88420399344784</v>
      </c>
      <c r="F25" s="270">
        <f>'driving mode parameters'!F25</f>
        <v>131.21998441155787</v>
      </c>
      <c r="G25" s="270">
        <f>'driving mode parameters'!G25</f>
        <v>112.33354377914422</v>
      </c>
      <c r="H25" s="270">
        <f>'driving mode parameters'!H25</f>
        <v>93.89275653461803</v>
      </c>
      <c r="I25" s="508">
        <f>'driving mode parameters'!I25</f>
        <v>75.996027768312089</v>
      </c>
      <c r="J25" s="508">
        <f>'driving mode parameters'!J25</f>
        <v>63.208813239326652</v>
      </c>
      <c r="K25" s="508">
        <f>'driving mode parameters'!K25</f>
        <v>53.483251352003123</v>
      </c>
      <c r="L25" s="508">
        <f>'driving mode parameters'!L25</f>
        <v>0</v>
      </c>
      <c r="M25" s="508">
        <f>'driving mode parameters'!M25</f>
        <v>0</v>
      </c>
      <c r="N25" s="508">
        <f>'driving mode parameters'!N25</f>
        <v>0</v>
      </c>
      <c r="O25" s="508">
        <f>'driving mode parameters'!O25</f>
        <v>0</v>
      </c>
    </row>
    <row r="26" spans="1:29" ht="16.5" customHeight="1">
      <c r="A26" s="256" t="s">
        <v>146</v>
      </c>
      <c r="B26" s="277">
        <f>'driving mode parameters'!B26</f>
        <v>1.3145781214200589</v>
      </c>
      <c r="C26" s="277">
        <f>'driving mode parameters'!C26</f>
        <v>0.91290147320837445</v>
      </c>
      <c r="D26" s="277">
        <f>'driving mode parameters'!D26</f>
        <v>0.68567989083339542</v>
      </c>
      <c r="E26" s="277">
        <f>'driving mode parameters'!E26</f>
        <v>0.49093634036413442</v>
      </c>
      <c r="F26" s="277">
        <f>'driving mode parameters'!F26</f>
        <v>0.32864453035501484</v>
      </c>
      <c r="G26" s="277">
        <f>'driving mode parameters'!G26</f>
        <v>0.25966845403213196</v>
      </c>
      <c r="H26" s="277">
        <f>'driving mode parameters'!H26</f>
        <v>0.19880959736262502</v>
      </c>
      <c r="I26" s="515">
        <f>'driving mode parameters'!I26</f>
        <v>0.1460642357133399</v>
      </c>
      <c r="J26" s="515">
        <f>'driving mode parameters'!J26</f>
        <v>0.10954817678500491</v>
      </c>
      <c r="K26" s="515">
        <f>'driving mode parameters'!K26</f>
        <v>8.6556151344043944E-2</v>
      </c>
      <c r="L26" s="515">
        <f>'driving mode parameters'!L26</f>
        <v>0</v>
      </c>
      <c r="M26" s="515">
        <f>'driving mode parameters'!M26</f>
        <v>0</v>
      </c>
      <c r="N26" s="515">
        <f>'driving mode parameters'!N26</f>
        <v>0</v>
      </c>
      <c r="O26" s="515">
        <f>'driving mode parameters'!O26</f>
        <v>0</v>
      </c>
    </row>
    <row r="27" spans="1:29" ht="16.5" customHeight="1">
      <c r="A27" s="256" t="s">
        <v>147</v>
      </c>
      <c r="B27" s="277">
        <f>'driving mode parameters'!B27</f>
        <v>1.2767793791339472</v>
      </c>
      <c r="C27" s="277">
        <f>'driving mode parameters'!C27</f>
        <v>0.87660235013599663</v>
      </c>
      <c r="D27" s="277">
        <f>'driving mode parameters'!D27</f>
        <v>0.64592888105291879</v>
      </c>
      <c r="E27" s="277">
        <f>'driving mode parameters'!E27</f>
        <v>0.46591579897783009</v>
      </c>
      <c r="F27" s="277">
        <f>'driving mode parameters'!F27</f>
        <v>0.30932047261287898</v>
      </c>
      <c r="G27" s="277">
        <f>'driving mode parameters'!G27</f>
        <v>0.24554822450004252</v>
      </c>
      <c r="H27" s="277">
        <f>'driving mode parameters'!H27</f>
        <v>0.18896213466750447</v>
      </c>
      <c r="I27" s="515">
        <f>'driving mode parameters'!I27</f>
        <v>0.13956136504824015</v>
      </c>
      <c r="J27" s="515">
        <f>'driving mode parameters'!J27</f>
        <v>0.10525607682505633</v>
      </c>
      <c r="K27" s="515">
        <f>'driving mode parameters'!K27</f>
        <v>8.5524031658602728E-2</v>
      </c>
      <c r="L27" s="515">
        <f>'driving mode parameters'!L27</f>
        <v>0</v>
      </c>
      <c r="M27" s="515">
        <f>'driving mode parameters'!M27</f>
        <v>0</v>
      </c>
      <c r="N27" s="515">
        <f>'driving mode parameters'!N27</f>
        <v>0</v>
      </c>
      <c r="O27" s="515">
        <f>'driving mode parameters'!O27</f>
        <v>0</v>
      </c>
    </row>
    <row r="28" spans="1:29" ht="16.5" customHeight="1">
      <c r="A28" s="256" t="s">
        <v>148</v>
      </c>
      <c r="B28" s="277">
        <f>'driving mode parameters'!B28</f>
        <v>25.583370713670384</v>
      </c>
      <c r="C28" s="277">
        <f>'driving mode parameters'!C28</f>
        <v>17.994327921113527</v>
      </c>
      <c r="D28" s="277">
        <f>'driving mode parameters'!D28</f>
        <v>13.827754435019413</v>
      </c>
      <c r="E28" s="277">
        <f>'driving mode parameters'!E28</f>
        <v>9.802278112576575</v>
      </c>
      <c r="F28" s="277">
        <f>'driving mode parameters'!F28</f>
        <v>6.6258117830686736</v>
      </c>
      <c r="G28" s="277">
        <f>'driving mode parameters'!G28</f>
        <v>5.2040803255309971</v>
      </c>
      <c r="H28" s="277">
        <f>'driving mode parameters'!H28</f>
        <v>3.9587351380380791</v>
      </c>
      <c r="I28" s="515">
        <f>'driving mode parameters'!I28</f>
        <v>2.8895336337487825</v>
      </c>
      <c r="J28" s="515">
        <f>'driving mode parameters'!J28</f>
        <v>2.2234748888735187</v>
      </c>
      <c r="K28" s="515">
        <f>'driving mode parameters'!K28</f>
        <v>1.7574928715395688</v>
      </c>
      <c r="L28" s="515">
        <f>'driving mode parameters'!L28</f>
        <v>0</v>
      </c>
      <c r="M28" s="515">
        <f>'driving mode parameters'!M28</f>
        <v>0</v>
      </c>
      <c r="N28" s="515">
        <f>'driving mode parameters'!N28</f>
        <v>0</v>
      </c>
      <c r="O28" s="515">
        <f>'driving mode parameters'!O28</f>
        <v>0</v>
      </c>
    </row>
    <row r="29" spans="1:29" ht="16.5" customHeight="1">
      <c r="A29" s="256" t="s">
        <v>149</v>
      </c>
      <c r="B29" s="277">
        <f>'driving mode parameters'!B29</f>
        <v>0.4031173280716146</v>
      </c>
      <c r="C29" s="277">
        <f>'driving mode parameters'!C29</f>
        <v>0.41151474600708016</v>
      </c>
      <c r="D29" s="277">
        <f>'driving mode parameters'!D29</f>
        <v>0.42339985491593385</v>
      </c>
      <c r="E29" s="277">
        <f>'driving mode parameters'!E29</f>
        <v>0.42071954096901826</v>
      </c>
      <c r="F29" s="277">
        <f>'driving mode parameters'!F29</f>
        <v>0.42065658497621189</v>
      </c>
      <c r="G29" s="277">
        <f>'driving mode parameters'!G29</f>
        <v>0.41438568563449552</v>
      </c>
      <c r="H29" s="277">
        <f>'driving mode parameters'!H29</f>
        <v>0.41665671452027125</v>
      </c>
      <c r="I29" s="515">
        <f>'driving mode parameters'!I29</f>
        <v>0.40944828126706034</v>
      </c>
      <c r="J29" s="515">
        <f>'driving mode parameters'!J29</f>
        <v>0.423355099769475</v>
      </c>
      <c r="K29" s="515">
        <f>'driving mode parameters'!K29</f>
        <v>0.41957319938436888</v>
      </c>
      <c r="L29" s="515">
        <f>'driving mode parameters'!L29</f>
        <v>0</v>
      </c>
      <c r="M29" s="515">
        <f>'driving mode parameters'!M29</f>
        <v>0</v>
      </c>
      <c r="N29" s="515">
        <f>'driving mode parameters'!N29</f>
        <v>0</v>
      </c>
      <c r="O29" s="515">
        <f>'driving mode parameters'!O29</f>
        <v>0</v>
      </c>
    </row>
    <row r="30" spans="1:29" ht="16.5" customHeight="1">
      <c r="A30" s="256" t="s">
        <v>150</v>
      </c>
      <c r="B30" s="277">
        <f>'driving mode parameters'!B30</f>
        <v>0.33609837780377499</v>
      </c>
      <c r="C30" s="277">
        <f>'driving mode parameters'!C30</f>
        <v>0.34002729705745355</v>
      </c>
      <c r="D30" s="277">
        <f>'driving mode parameters'!D30</f>
        <v>0.34721784258146349</v>
      </c>
      <c r="E30" s="277">
        <f>'driving mode parameters'!E30</f>
        <v>0.34404342455347459</v>
      </c>
      <c r="F30" s="277">
        <f>'driving mode parameters'!F30</f>
        <v>0.3471144715030664</v>
      </c>
      <c r="G30" s="277">
        <f>'driving mode parameters'!G30</f>
        <v>0.34521693343099968</v>
      </c>
      <c r="H30" s="277">
        <f>'driving mode parameters'!H30</f>
        <v>0.34317377061157345</v>
      </c>
      <c r="I30" s="515">
        <f>'driving mode parameters'!I30</f>
        <v>0.34112487108690753</v>
      </c>
      <c r="J30" s="515">
        <f>'driving mode parameters'!J30</f>
        <v>0.34967013834627159</v>
      </c>
      <c r="K30" s="515">
        <f>'driving mode parameters'!K30</f>
        <v>0.3502480789704171</v>
      </c>
      <c r="L30" s="515">
        <f>'driving mode parameters'!L30</f>
        <v>0</v>
      </c>
      <c r="M30" s="515">
        <f>'driving mode parameters'!M30</f>
        <v>0</v>
      </c>
      <c r="N30" s="515">
        <f>'driving mode parameters'!N30</f>
        <v>0</v>
      </c>
      <c r="O30" s="515">
        <f>'driving mode parameters'!O30</f>
        <v>0</v>
      </c>
    </row>
    <row r="31" spans="1:29" ht="16.5" customHeight="1">
      <c r="A31" s="256" t="s">
        <v>151</v>
      </c>
      <c r="B31" s="278">
        <f>'driving mode parameters'!B31</f>
        <v>98.583944798243834</v>
      </c>
      <c r="C31" s="278">
        <f>'driving mode parameters'!C31</f>
        <v>82.153287331869862</v>
      </c>
      <c r="D31" s="278">
        <f>'driving mode parameters'!D31</f>
        <v>71.198967999038345</v>
      </c>
      <c r="E31" s="278">
        <f>'driving mode parameters'!E31</f>
        <v>60.245634505654792</v>
      </c>
      <c r="F31" s="278">
        <f>'driving mode parameters'!F31</f>
        <v>49.291972399121903</v>
      </c>
      <c r="G31" s="278">
        <f>'driving mode parameters'!G31</f>
        <v>43.814977039280805</v>
      </c>
      <c r="H31" s="278">
        <f>'driving mode parameters'!H31</f>
        <v>38.338195277986777</v>
      </c>
      <c r="I31" s="516">
        <f>'driving mode parameters'!I31</f>
        <v>32.861314932747938</v>
      </c>
      <c r="J31" s="516">
        <f>'driving mode parameters'!J31</f>
        <v>28.45873353352064</v>
      </c>
      <c r="K31" s="516">
        <f>'driving mode parameters'!K31</f>
        <v>25.296588788166055</v>
      </c>
      <c r="L31" s="516">
        <f>'driving mode parameters'!L31</f>
        <v>0</v>
      </c>
      <c r="M31" s="516">
        <f>'driving mode parameters'!M31</f>
        <v>0</v>
      </c>
      <c r="N31" s="516">
        <f>'driving mode parameters'!N31</f>
        <v>0</v>
      </c>
      <c r="O31" s="516">
        <f>'driving mode parameters'!O31</f>
        <v>0</v>
      </c>
    </row>
    <row r="32" spans="1:29" s="280" customFormat="1" ht="16.5" customHeight="1">
      <c r="A32" s="279" t="s">
        <v>152</v>
      </c>
      <c r="B32" s="60">
        <f>'driving mode parameters'!B32</f>
        <v>47.379104359497909</v>
      </c>
      <c r="C32" s="60">
        <f>'driving mode parameters'!C32</f>
        <v>55.668351044921167</v>
      </c>
      <c r="D32" s="60">
        <f>'driving mode parameters'!D32</f>
        <v>61.730627470251463</v>
      </c>
      <c r="E32" s="60">
        <f>'driving mode parameters'!E32</f>
        <v>74.257111966692307</v>
      </c>
      <c r="F32" s="60">
        <f>'driving mode parameters'!F32</f>
        <v>89.209428032583105</v>
      </c>
      <c r="G32" s="60">
        <f>'driving mode parameters'!G32</f>
        <v>101.43541686790246</v>
      </c>
      <c r="H32" s="60">
        <f>'driving mode parameters'!H32</f>
        <v>117.24327434675257</v>
      </c>
      <c r="I32" s="517">
        <f>'driving mode parameters'!I32</f>
        <v>138.32269547468172</v>
      </c>
      <c r="J32" s="517">
        <f>'driving mode parameters'!J32</f>
        <v>152.62759372619101</v>
      </c>
      <c r="K32" s="517">
        <f>'driving mode parameters'!K32</f>
        <v>171.58262270251331</v>
      </c>
      <c r="L32" s="517">
        <f>'driving mode parameters'!L32</f>
        <v>0</v>
      </c>
      <c r="M32" s="517">
        <f>'driving mode parameters'!M32</f>
        <v>0</v>
      </c>
      <c r="N32" s="517">
        <f>'driving mode parameters'!N32</f>
        <v>0</v>
      </c>
      <c r="O32" s="517">
        <f>'driving mode parameters'!O32</f>
        <v>0</v>
      </c>
      <c r="P32" s="267"/>
      <c r="Q32" s="267"/>
      <c r="R32" s="267"/>
      <c r="S32" s="267"/>
      <c r="T32" s="267"/>
      <c r="U32" s="267"/>
      <c r="V32" s="267"/>
      <c r="W32" s="267"/>
      <c r="X32" s="267"/>
      <c r="Y32" s="267"/>
      <c r="Z32" s="267"/>
      <c r="AA32" s="267"/>
      <c r="AB32" s="267"/>
      <c r="AC32" s="267"/>
    </row>
    <row r="33" spans="1:15" ht="16.5" customHeight="1">
      <c r="A33" s="279" t="s">
        <v>179</v>
      </c>
      <c r="B33" s="60">
        <f>RESUM!B33</f>
        <v>0</v>
      </c>
      <c r="C33" s="60">
        <f>RESUM!C33</f>
        <v>0</v>
      </c>
      <c r="D33" s="60">
        <f>RESUM!D33</f>
        <v>0</v>
      </c>
      <c r="E33" s="60">
        <f>RESUM!E33</f>
        <v>0</v>
      </c>
      <c r="F33" s="60">
        <f>RESUM!F33</f>
        <v>0</v>
      </c>
      <c r="G33" s="60">
        <f>RESUM!G33</f>
        <v>0</v>
      </c>
      <c r="H33" s="60">
        <f>RESUM!H33</f>
        <v>0</v>
      </c>
      <c r="I33" s="517">
        <f>RESUM!I33</f>
        <v>0</v>
      </c>
      <c r="J33" s="517">
        <f>RESUM!J33</f>
        <v>0</v>
      </c>
      <c r="K33" s="517">
        <f>RESUM!K33</f>
        <v>0</v>
      </c>
      <c r="L33" s="517">
        <f>RESUM!L33</f>
        <v>0</v>
      </c>
      <c r="M33" s="517">
        <f>RESUM!M33</f>
        <v>0</v>
      </c>
      <c r="N33" s="517">
        <f>RESUM!N33</f>
        <v>0</v>
      </c>
      <c r="O33" s="517">
        <f>RESUM!O33</f>
        <v>0</v>
      </c>
    </row>
    <row r="34" spans="1:15" ht="16.5" customHeight="1">
      <c r="B34" s="239"/>
      <c r="C34" s="239"/>
      <c r="D34" s="239"/>
      <c r="E34" s="239"/>
      <c r="F34" s="239"/>
      <c r="G34" s="239"/>
      <c r="H34" s="239"/>
      <c r="I34" s="283"/>
      <c r="J34" s="282"/>
      <c r="K34" s="282"/>
      <c r="L34" s="282"/>
      <c r="M34" s="282"/>
    </row>
    <row r="35" spans="1:15" ht="16.5" customHeight="1">
      <c r="B35" s="281"/>
      <c r="C35" s="281"/>
      <c r="D35" s="281"/>
      <c r="E35" s="281"/>
      <c r="F35" s="281"/>
      <c r="G35" s="281"/>
      <c r="H35" s="281"/>
      <c r="I35" s="281"/>
    </row>
    <row r="36" spans="1:15" ht="16.5" customHeight="1">
      <c r="B36" s="239"/>
      <c r="C36" s="239"/>
      <c r="D36" s="239"/>
      <c r="E36" s="239"/>
      <c r="F36" s="239"/>
      <c r="G36" s="239"/>
      <c r="H36" s="239"/>
      <c r="I36" s="239"/>
    </row>
    <row r="37" spans="1:15" ht="16.5" customHeight="1">
      <c r="B37" s="239"/>
      <c r="C37" s="239"/>
      <c r="D37" s="239"/>
      <c r="E37" s="239"/>
      <c r="F37" s="239"/>
      <c r="G37" s="239"/>
      <c r="H37" s="239"/>
      <c r="I37" s="239"/>
    </row>
    <row r="38" spans="1:15" ht="16.5" customHeight="1">
      <c r="B38" s="239"/>
      <c r="C38" s="239"/>
      <c r="D38" s="239"/>
      <c r="E38" s="239"/>
      <c r="F38" s="239"/>
      <c r="G38" s="239"/>
      <c r="H38" s="239"/>
      <c r="I38" s="239"/>
    </row>
    <row r="39" spans="1:15" ht="16.5" customHeight="1">
      <c r="B39" s="239"/>
      <c r="C39" s="239"/>
      <c r="D39" s="239"/>
      <c r="E39" s="239"/>
      <c r="F39" s="239"/>
      <c r="G39" s="239"/>
      <c r="H39" s="239"/>
      <c r="I39" s="239"/>
    </row>
    <row r="40" spans="1:15" ht="16.5" customHeight="1">
      <c r="B40" s="239"/>
      <c r="C40" s="239"/>
      <c r="D40" s="239"/>
      <c r="E40" s="239"/>
      <c r="F40" s="239"/>
      <c r="G40" s="239"/>
      <c r="H40" s="239"/>
      <c r="I40" s="239"/>
    </row>
    <row r="41" spans="1:15" ht="16.5" customHeight="1">
      <c r="B41" s="239"/>
      <c r="C41" s="239"/>
      <c r="D41" s="239"/>
      <c r="E41" s="239"/>
      <c r="F41" s="239"/>
      <c r="G41" s="239"/>
      <c r="H41" s="239"/>
      <c r="I41" s="239"/>
    </row>
    <row r="42" spans="1:15" ht="16.5" customHeight="1">
      <c r="B42" s="239"/>
      <c r="C42" s="239"/>
      <c r="D42" s="239"/>
      <c r="E42" s="239"/>
      <c r="F42" s="239"/>
      <c r="G42" s="239"/>
      <c r="H42" s="239"/>
      <c r="I42" s="239"/>
    </row>
    <row r="43" spans="1:15" ht="16.5" customHeight="1">
      <c r="B43" s="239"/>
      <c r="C43" s="239"/>
      <c r="D43" s="239"/>
      <c r="E43" s="239"/>
      <c r="F43" s="239"/>
      <c r="G43" s="239"/>
      <c r="H43" s="239"/>
      <c r="I43" s="239"/>
    </row>
    <row r="44" spans="1:15" ht="16.5" customHeight="1">
      <c r="B44" s="239"/>
      <c r="C44" s="239"/>
      <c r="D44" s="239"/>
      <c r="E44" s="239"/>
      <c r="F44" s="239"/>
      <c r="G44" s="239"/>
      <c r="H44" s="239"/>
      <c r="I44" s="239"/>
    </row>
    <row r="45" spans="1:15" ht="16.5" customHeight="1">
      <c r="B45" s="239"/>
      <c r="C45" s="239"/>
      <c r="D45" s="239"/>
      <c r="E45" s="239"/>
      <c r="F45" s="239"/>
      <c r="G45" s="239"/>
      <c r="H45" s="239"/>
      <c r="I45" s="239"/>
    </row>
    <row r="46" spans="1:15" ht="16.5" customHeight="1">
      <c r="B46" s="239"/>
      <c r="C46" s="239"/>
      <c r="D46" s="239"/>
      <c r="E46" s="239"/>
      <c r="F46" s="239"/>
      <c r="G46" s="239"/>
      <c r="H46" s="239"/>
      <c r="I46" s="239"/>
    </row>
    <row r="47" spans="1:15" ht="16.5" customHeight="1">
      <c r="B47" s="239"/>
      <c r="C47" s="239"/>
      <c r="D47" s="239"/>
      <c r="E47" s="239"/>
      <c r="F47" s="239"/>
      <c r="G47" s="239"/>
      <c r="H47" s="239"/>
      <c r="I47" s="239"/>
    </row>
    <row r="48" spans="1:15" ht="16.5" customHeight="1">
      <c r="B48" s="239"/>
      <c r="C48" s="239"/>
      <c r="D48" s="239"/>
      <c r="E48" s="239"/>
      <c r="F48" s="239"/>
      <c r="G48" s="239"/>
      <c r="H48" s="239"/>
      <c r="I48" s="239"/>
    </row>
    <row r="49" spans="1:12" ht="16.5" customHeight="1">
      <c r="B49" s="239"/>
      <c r="C49" s="239"/>
      <c r="D49" s="239"/>
      <c r="E49" s="239"/>
      <c r="F49" s="239"/>
      <c r="G49" s="239"/>
      <c r="H49" s="239"/>
      <c r="I49" s="239"/>
    </row>
    <row r="50" spans="1:12" ht="16.5" customHeight="1">
      <c r="B50" s="239"/>
      <c r="C50" s="239"/>
      <c r="D50" s="239"/>
      <c r="E50" s="239"/>
      <c r="F50" s="239"/>
      <c r="G50" s="239"/>
      <c r="H50" s="239"/>
      <c r="I50" s="239"/>
    </row>
    <row r="51" spans="1:12" ht="15" customHeight="1">
      <c r="B51" s="239"/>
      <c r="C51" s="239"/>
      <c r="D51" s="239"/>
      <c r="E51" s="239"/>
      <c r="F51" s="239"/>
      <c r="G51" s="239"/>
      <c r="H51" s="239"/>
      <c r="I51" s="239"/>
    </row>
    <row r="52" spans="1:12" ht="15" customHeight="1">
      <c r="B52" s="239"/>
      <c r="C52" s="239"/>
      <c r="D52" s="239"/>
      <c r="E52" s="239"/>
      <c r="F52" s="239"/>
      <c r="G52" s="239"/>
      <c r="H52" s="239"/>
      <c r="I52" s="239"/>
    </row>
    <row r="53" spans="1:12" s="285" customFormat="1" ht="15" customHeight="1">
      <c r="B53" s="284"/>
      <c r="C53" s="284"/>
      <c r="D53" s="284"/>
      <c r="E53" s="284"/>
      <c r="F53" s="284"/>
      <c r="G53" s="284"/>
      <c r="H53" s="284"/>
      <c r="I53" s="284"/>
    </row>
    <row r="54" spans="1:12" s="285" customFormat="1" ht="15" customHeight="1">
      <c r="B54" s="284"/>
      <c r="C54" s="284"/>
      <c r="D54" s="284"/>
      <c r="E54" s="284"/>
      <c r="F54" s="284"/>
      <c r="G54" s="284"/>
      <c r="H54" s="284"/>
      <c r="I54" s="284"/>
    </row>
    <row r="55" spans="1:12" s="285" customFormat="1" ht="15" customHeight="1">
      <c r="B55" s="284"/>
      <c r="C55" s="284"/>
      <c r="D55" s="284"/>
      <c r="E55" s="284"/>
      <c r="F55" s="284"/>
      <c r="G55" s="284"/>
      <c r="H55" s="284"/>
      <c r="I55" s="284"/>
    </row>
    <row r="56" spans="1:12" s="285" customFormat="1" ht="15" customHeight="1">
      <c r="B56" s="284"/>
      <c r="C56" s="284"/>
      <c r="D56" s="284"/>
      <c r="E56" s="284"/>
      <c r="F56" s="284"/>
      <c r="G56" s="284"/>
      <c r="H56" s="284"/>
      <c r="I56" s="284"/>
    </row>
    <row r="57" spans="1:12" s="285" customFormat="1" ht="15" customHeight="1">
      <c r="B57" s="284"/>
      <c r="C57" s="284"/>
      <c r="D57" s="284"/>
      <c r="E57" s="284"/>
      <c r="F57" s="284"/>
      <c r="G57" s="284"/>
      <c r="H57" s="284"/>
      <c r="I57" s="284"/>
    </row>
    <row r="58" spans="1:12" s="285" customFormat="1" ht="15" customHeight="1">
      <c r="B58" s="284"/>
      <c r="C58" s="284"/>
      <c r="D58" s="284"/>
      <c r="E58" s="284"/>
      <c r="F58" s="284"/>
      <c r="G58" s="284"/>
      <c r="H58" s="284"/>
      <c r="I58" s="284"/>
    </row>
    <row r="59" spans="1:12" s="285" customFormat="1" ht="15" customHeight="1">
      <c r="B59" s="284"/>
      <c r="C59" s="284"/>
      <c r="D59" s="284"/>
      <c r="E59" s="284"/>
      <c r="F59" s="284"/>
      <c r="G59" s="284"/>
      <c r="H59" s="284"/>
      <c r="I59" s="284"/>
    </row>
    <row r="60" spans="1:12" s="285" customFormat="1" ht="15" customHeight="1">
      <c r="B60" s="284"/>
      <c r="C60" s="284"/>
      <c r="D60" s="284"/>
      <c r="E60" s="284"/>
      <c r="F60" s="284"/>
      <c r="G60" s="284"/>
      <c r="H60" s="284"/>
      <c r="I60" s="284"/>
    </row>
    <row r="61" spans="1:12" s="295" customFormat="1" ht="15" customHeight="1">
      <c r="A61" s="295" t="s">
        <v>153</v>
      </c>
      <c r="B61" s="296">
        <f>B16*20-B12</f>
        <v>-20</v>
      </c>
      <c r="C61" s="296">
        <f t="shared" ref="C61:L61" si="5">C16*20-C12</f>
        <v>-20</v>
      </c>
      <c r="D61" s="296">
        <f t="shared" si="5"/>
        <v>-20</v>
      </c>
      <c r="E61" s="296">
        <f t="shared" si="5"/>
        <v>-20</v>
      </c>
      <c r="F61" s="296">
        <f t="shared" si="5"/>
        <v>-20</v>
      </c>
      <c r="G61" s="296">
        <f t="shared" si="5"/>
        <v>-20</v>
      </c>
      <c r="H61" s="296">
        <f t="shared" si="5"/>
        <v>-20</v>
      </c>
      <c r="I61" s="296">
        <f t="shared" si="5"/>
        <v>-20</v>
      </c>
      <c r="J61" s="295">
        <f t="shared" si="5"/>
        <v>-13.463999999999942</v>
      </c>
      <c r="K61" s="295">
        <f t="shared" si="5"/>
        <v>-12.419999999999618</v>
      </c>
      <c r="L61" s="295" t="e">
        <f t="shared" si="5"/>
        <v>#DIV/0!</v>
      </c>
    </row>
    <row r="62" spans="1:12" s="297" customFormat="1" ht="15" customHeight="1">
      <c r="A62" s="297" t="s">
        <v>154</v>
      </c>
      <c r="B62" s="298"/>
      <c r="C62" s="298"/>
      <c r="D62" s="298"/>
      <c r="E62" s="298"/>
      <c r="F62" s="298"/>
      <c r="G62" s="298"/>
      <c r="H62" s="298"/>
      <c r="I62" s="298"/>
    </row>
    <row r="63" spans="1:12" s="295" customFormat="1" ht="15" customHeight="1">
      <c r="A63" s="295" t="s">
        <v>155</v>
      </c>
      <c r="B63" s="296">
        <f>2*PI()*B16*B28/1000*B32</f>
        <v>220.86275081078935</v>
      </c>
      <c r="C63" s="296">
        <f t="shared" ref="C63:L63" si="6">2*PI()*C16*C28/1000*C32</f>
        <v>220.28853796457713</v>
      </c>
      <c r="D63" s="296">
        <f t="shared" si="6"/>
        <v>225.2586663675813</v>
      </c>
      <c r="E63" s="296">
        <f t="shared" si="6"/>
        <v>224.09956995671092</v>
      </c>
      <c r="F63" s="296">
        <f t="shared" si="6"/>
        <v>222.83374977972861</v>
      </c>
      <c r="G63" s="296">
        <f t="shared" si="6"/>
        <v>222.22262876419714</v>
      </c>
      <c r="H63" s="296">
        <f t="shared" si="6"/>
        <v>221.63474551099878</v>
      </c>
      <c r="I63" s="296">
        <f t="shared" si="6"/>
        <v>220.99565639982202</v>
      </c>
      <c r="J63" s="295">
        <f t="shared" si="6"/>
        <v>221.75759044792298</v>
      </c>
      <c r="K63" s="295">
        <f t="shared" si="6"/>
        <v>219.78838186792106</v>
      </c>
      <c r="L63" s="295" t="e">
        <f t="shared" si="6"/>
        <v>#DIV/0!</v>
      </c>
    </row>
    <row r="64" spans="1:12" s="295" customFormat="1" ht="15" customHeight="1">
      <c r="A64" s="295" t="s">
        <v>156</v>
      </c>
      <c r="B64" s="296">
        <f>B23/1000*(B15^2-B32^2)^0.5</f>
        <v>4.5417678426226287</v>
      </c>
      <c r="C64" s="296">
        <f t="shared" ref="C64:L64" si="7">C23/1000*(C15^2-C32^2)^0.5</f>
        <v>3.7733175665193444</v>
      </c>
      <c r="D64" s="296">
        <f t="shared" si="7"/>
        <v>3.2943350270914715</v>
      </c>
      <c r="E64" s="296">
        <f t="shared" si="7"/>
        <v>2.756752472071951</v>
      </c>
      <c r="F64" s="296">
        <f t="shared" si="7"/>
        <v>2.290975777573347</v>
      </c>
      <c r="G64" s="296">
        <f t="shared" si="7"/>
        <v>2.0463297117515395</v>
      </c>
      <c r="H64" s="296">
        <f t="shared" si="7"/>
        <v>1.7618899171717166</v>
      </c>
      <c r="I64" s="296">
        <f t="shared" si="7"/>
        <v>1.5209456580700929</v>
      </c>
      <c r="J64" s="295">
        <f t="shared" si="7"/>
        <v>1.2285374434639749</v>
      </c>
      <c r="K64" s="295">
        <f t="shared" si="7"/>
        <v>1.0200121175327896</v>
      </c>
      <c r="L64" s="295">
        <f t="shared" si="7"/>
        <v>0</v>
      </c>
    </row>
    <row r="65" spans="1:12" s="295" customFormat="1" ht="15" customHeight="1">
      <c r="A65" s="295" t="s">
        <v>157</v>
      </c>
      <c r="B65" s="296">
        <f t="shared" ref="B65:L65" si="8">B23/1000*B32</f>
        <v>3.161364288185065</v>
      </c>
      <c r="C65" s="296">
        <f t="shared" si="8"/>
        <v>2.5577073322953412</v>
      </c>
      <c r="D65" s="296">
        <f t="shared" si="8"/>
        <v>2.1160219997266312</v>
      </c>
      <c r="E65" s="296">
        <f t="shared" si="8"/>
        <v>1.8167551152217105</v>
      </c>
      <c r="F65" s="296">
        <f t="shared" si="8"/>
        <v>1.4748445457788268</v>
      </c>
      <c r="G65" s="296">
        <f t="shared" si="8"/>
        <v>1.3374439666463793</v>
      </c>
      <c r="H65" s="296">
        <f t="shared" si="8"/>
        <v>1.1698939223449529</v>
      </c>
      <c r="I65" s="296">
        <f t="shared" si="8"/>
        <v>1.0255070026959754</v>
      </c>
      <c r="J65" s="295">
        <f t="shared" si="8"/>
        <v>0.8410993438204859</v>
      </c>
      <c r="K65" s="295">
        <f t="shared" si="8"/>
        <v>0.75411577336835234</v>
      </c>
      <c r="L65" s="295">
        <f t="shared" si="8"/>
        <v>0</v>
      </c>
    </row>
    <row r="66" spans="1:12" s="295" customFormat="1" ht="15" customHeight="1">
      <c r="A66" s="295" t="s">
        <v>158</v>
      </c>
      <c r="B66" s="296">
        <f>2*PI()*B16*B26/1000*B32</f>
        <v>11.348830586165533</v>
      </c>
      <c r="C66" s="296">
        <f t="shared" ref="C66:L66" si="9">2*PI()*C16*C26/1000*C32</f>
        <v>11.175840060290332</v>
      </c>
      <c r="D66" s="296">
        <f t="shared" si="9"/>
        <v>11.169950875974067</v>
      </c>
      <c r="E66" s="296">
        <f t="shared" si="9"/>
        <v>11.223780991335804</v>
      </c>
      <c r="F66" s="296">
        <f t="shared" si="9"/>
        <v>11.052697456746754</v>
      </c>
      <c r="G66" s="296">
        <f t="shared" si="9"/>
        <v>11.088262066029431</v>
      </c>
      <c r="H66" s="296">
        <f t="shared" si="9"/>
        <v>11.130604342084602</v>
      </c>
      <c r="I66" s="296">
        <f t="shared" si="9"/>
        <v>11.171201217730585</v>
      </c>
      <c r="J66" s="295">
        <f t="shared" si="9"/>
        <v>10.925754027342956</v>
      </c>
      <c r="K66" s="295">
        <f t="shared" si="9"/>
        <v>10.824531213009809</v>
      </c>
      <c r="L66" s="295" t="e">
        <f t="shared" si="9"/>
        <v>#DIV/0!</v>
      </c>
    </row>
    <row r="67" spans="1:12" s="295" customFormat="1" ht="15" customHeight="1">
      <c r="A67" s="295" t="s">
        <v>159</v>
      </c>
      <c r="B67" s="296">
        <f t="shared" ref="B67:L67" si="10">2*PI()*B16*B26/1000*(B15^2-B32^2)^0.5</f>
        <v>16.304275340950959</v>
      </c>
      <c r="C67" s="296">
        <f t="shared" si="10"/>
        <v>16.48741945086417</v>
      </c>
      <c r="D67" s="296">
        <f t="shared" si="10"/>
        <v>17.38997062713257</v>
      </c>
      <c r="E67" s="296">
        <f t="shared" si="10"/>
        <v>17.031016307381194</v>
      </c>
      <c r="F67" s="296">
        <f t="shared" si="10"/>
        <v>17.168902460077071</v>
      </c>
      <c r="G67" s="296">
        <f t="shared" si="10"/>
        <v>16.965376257443495</v>
      </c>
      <c r="H67" s="296">
        <f t="shared" si="10"/>
        <v>16.762972426626686</v>
      </c>
      <c r="I67" s="296">
        <f t="shared" si="10"/>
        <v>16.56818524190205</v>
      </c>
      <c r="J67" s="295">
        <f t="shared" si="10"/>
        <v>15.958516695184725</v>
      </c>
      <c r="K67" s="295">
        <f t="shared" si="10"/>
        <v>14.641190907021107</v>
      </c>
      <c r="L67" s="295" t="e">
        <f t="shared" si="10"/>
        <v>#DIV/0!</v>
      </c>
    </row>
    <row r="68" spans="1:12" s="295" customFormat="1" ht="15" customHeight="1">
      <c r="A68" s="295" t="s">
        <v>160</v>
      </c>
      <c r="B68" s="296">
        <f>B63+B66-B64</f>
        <v>227.66981355433228</v>
      </c>
      <c r="C68" s="296">
        <f t="shared" ref="C68:L68" si="11">C63+C66-C64</f>
        <v>227.69106045834812</v>
      </c>
      <c r="D68" s="296">
        <f t="shared" si="11"/>
        <v>233.1342822164639</v>
      </c>
      <c r="E68" s="296">
        <f t="shared" si="11"/>
        <v>232.56659847597479</v>
      </c>
      <c r="F68" s="296">
        <f t="shared" si="11"/>
        <v>231.59547145890201</v>
      </c>
      <c r="G68" s="296">
        <f t="shared" si="11"/>
        <v>231.26456111847506</v>
      </c>
      <c r="H68" s="296">
        <f t="shared" si="11"/>
        <v>231.00345993591168</v>
      </c>
      <c r="I68" s="296">
        <f t="shared" si="11"/>
        <v>230.6459119594825</v>
      </c>
      <c r="J68" s="295">
        <f t="shared" si="11"/>
        <v>231.45480703180195</v>
      </c>
      <c r="K68" s="295">
        <f t="shared" si="11"/>
        <v>229.59290096339808</v>
      </c>
      <c r="L68" s="295" t="e">
        <f t="shared" si="11"/>
        <v>#DIV/0!</v>
      </c>
    </row>
    <row r="69" spans="1:12" s="295" customFormat="1" ht="15" customHeight="1">
      <c r="A69" s="295" t="s">
        <v>161</v>
      </c>
      <c r="B69" s="296">
        <f>B65-B67</f>
        <v>-13.142911052765893</v>
      </c>
      <c r="C69" s="296">
        <f t="shared" ref="C69:L69" si="12">C65-C67</f>
        <v>-13.92971211856883</v>
      </c>
      <c r="D69" s="296">
        <f t="shared" si="12"/>
        <v>-15.27394862740594</v>
      </c>
      <c r="E69" s="296">
        <f t="shared" si="12"/>
        <v>-15.214261192159483</v>
      </c>
      <c r="F69" s="296">
        <f t="shared" si="12"/>
        <v>-15.694057914298243</v>
      </c>
      <c r="G69" s="296">
        <f t="shared" si="12"/>
        <v>-15.627932290797116</v>
      </c>
      <c r="H69" s="296">
        <f t="shared" si="12"/>
        <v>-15.593078504281733</v>
      </c>
      <c r="I69" s="296">
        <f t="shared" si="12"/>
        <v>-15.542678239206074</v>
      </c>
      <c r="J69" s="295">
        <f t="shared" si="12"/>
        <v>-15.117417351364239</v>
      </c>
      <c r="K69" s="295">
        <f t="shared" si="12"/>
        <v>-13.887075133652754</v>
      </c>
      <c r="L69" s="295" t="e">
        <f t="shared" si="12"/>
        <v>#DIV/0!</v>
      </c>
    </row>
    <row r="70" spans="1:12" s="295" customFormat="1" ht="15" customHeight="1">
      <c r="A70" s="295" t="s">
        <v>128</v>
      </c>
      <c r="B70" s="296">
        <f>3^0.5*(B68^2+B69^2)^0.5</f>
        <v>394.9922028906596</v>
      </c>
      <c r="C70" s="296">
        <f t="shared" ref="C70:L70" si="13">3^0.5*(C68^2+C69^2)^0.5</f>
        <v>395.10981723700564</v>
      </c>
      <c r="D70" s="296">
        <f t="shared" si="13"/>
        <v>404.66611070582053</v>
      </c>
      <c r="E70" s="296">
        <f t="shared" si="13"/>
        <v>403.67820031669481</v>
      </c>
      <c r="F70" s="296">
        <f t="shared" si="13"/>
        <v>402.05509269534855</v>
      </c>
      <c r="G70" s="296">
        <f t="shared" si="13"/>
        <v>401.47551418613295</v>
      </c>
      <c r="H70" s="296">
        <f t="shared" si="13"/>
        <v>401.02023365262892</v>
      </c>
      <c r="I70" s="296">
        <f t="shared" si="13"/>
        <v>400.39647182687128</v>
      </c>
      <c r="J70" s="295">
        <f t="shared" si="13"/>
        <v>401.74568076895611</v>
      </c>
      <c r="K70" s="295">
        <f t="shared" si="13"/>
        <v>398.39333966027755</v>
      </c>
      <c r="L70" s="295" t="e">
        <f t="shared" si="13"/>
        <v>#DIV/0!</v>
      </c>
    </row>
    <row r="71" spans="1:12" s="295" customFormat="1" ht="15" customHeight="1">
      <c r="B71" s="296"/>
      <c r="C71" s="296"/>
      <c r="D71" s="296"/>
      <c r="E71" s="296"/>
      <c r="F71" s="296"/>
      <c r="G71" s="296"/>
      <c r="H71" s="296"/>
      <c r="I71" s="296"/>
    </row>
    <row r="72" spans="1:12" s="297" customFormat="1" ht="15" customHeight="1">
      <c r="A72" s="297" t="s">
        <v>162</v>
      </c>
      <c r="B72" s="298">
        <f>B14</f>
        <v>400</v>
      </c>
      <c r="C72" s="298"/>
      <c r="D72" s="298"/>
      <c r="E72" s="298"/>
      <c r="F72" s="298"/>
      <c r="G72" s="298"/>
      <c r="H72" s="298"/>
      <c r="I72" s="298"/>
    </row>
    <row r="73" spans="1:12" s="295" customFormat="1" ht="15" customHeight="1">
      <c r="A73" s="295" t="s">
        <v>155</v>
      </c>
      <c r="B73" s="296">
        <f>B63*B74/B16</f>
        <v>223.66289683133601</v>
      </c>
      <c r="C73" s="296">
        <f t="shared" ref="C73:K73" si="14">C63*C74/C16</f>
        <v>223.01499821497737</v>
      </c>
      <c r="D73" s="296">
        <f t="shared" si="14"/>
        <v>222.66126113173556</v>
      </c>
      <c r="E73" s="296">
        <f t="shared" si="14"/>
        <v>222.05763876364855</v>
      </c>
      <c r="F73" s="296">
        <f t="shared" si="14"/>
        <v>221.69474166922458</v>
      </c>
      <c r="G73" s="296">
        <f t="shared" si="14"/>
        <v>221.40590986195966</v>
      </c>
      <c r="H73" s="296">
        <f t="shared" si="14"/>
        <v>221.07088561818838</v>
      </c>
      <c r="I73" s="296">
        <f t="shared" si="14"/>
        <v>220.77682692007241</v>
      </c>
      <c r="J73" s="295">
        <f t="shared" si="14"/>
        <v>220.79400084498306</v>
      </c>
      <c r="K73" s="295">
        <f t="shared" si="14"/>
        <v>220.67475531126249</v>
      </c>
    </row>
    <row r="74" spans="1:12" s="295" customFormat="1" ht="15" customHeight="1">
      <c r="A74" s="295" t="s">
        <v>163</v>
      </c>
      <c r="B74" s="296">
        <f>B16*B14/B70</f>
        <v>29.367668311192141</v>
      </c>
      <c r="C74" s="296">
        <f t="shared" ref="C74:K74" si="15">C16*C14/C70</f>
        <v>35.433186899535158</v>
      </c>
      <c r="D74" s="296">
        <f t="shared" si="15"/>
        <v>41.515707778685396</v>
      </c>
      <c r="E74" s="296">
        <f t="shared" si="15"/>
        <v>48.553526013104872</v>
      </c>
      <c r="F74" s="296">
        <f t="shared" si="15"/>
        <v>59.693311777512179</v>
      </c>
      <c r="G74" s="296">
        <f t="shared" si="15"/>
        <v>66.753759701456971</v>
      </c>
      <c r="H74" s="296">
        <f t="shared" si="15"/>
        <v>75.806648764593348</v>
      </c>
      <c r="I74" s="296">
        <f t="shared" si="15"/>
        <v>87.912862566931508</v>
      </c>
      <c r="J74" s="295">
        <f t="shared" si="15"/>
        <v>103.5480952038515</v>
      </c>
      <c r="K74" s="295">
        <f t="shared" si="15"/>
        <v>116.46781053008249</v>
      </c>
    </row>
    <row r="75" spans="1:12" s="295" customFormat="1" ht="15" customHeight="1">
      <c r="A75" s="295" t="s">
        <v>164</v>
      </c>
      <c r="B75" s="296">
        <f>ROUND(B74,0)</f>
        <v>29</v>
      </c>
      <c r="C75" s="296">
        <f t="shared" ref="C75:K75" si="16">ROUND(C74,0)</f>
        <v>35</v>
      </c>
      <c r="D75" s="296">
        <f t="shared" si="16"/>
        <v>42</v>
      </c>
      <c r="E75" s="296">
        <f t="shared" si="16"/>
        <v>49</v>
      </c>
      <c r="F75" s="296">
        <f t="shared" si="16"/>
        <v>60</v>
      </c>
      <c r="G75" s="296">
        <f t="shared" si="16"/>
        <v>67</v>
      </c>
      <c r="H75" s="296">
        <f t="shared" si="16"/>
        <v>76</v>
      </c>
      <c r="I75" s="296">
        <f t="shared" si="16"/>
        <v>88</v>
      </c>
      <c r="J75" s="295">
        <f t="shared" si="16"/>
        <v>104</v>
      </c>
      <c r="K75" s="295">
        <f t="shared" si="16"/>
        <v>116</v>
      </c>
    </row>
    <row r="76" spans="1:12" s="295" customFormat="1" ht="15" customHeight="1">
      <c r="A76" s="295" t="s">
        <v>165</v>
      </c>
      <c r="B76" s="296">
        <f>B75*20+B61</f>
        <v>560</v>
      </c>
      <c r="C76" s="296">
        <f t="shared" ref="C76:K76" si="17">C75*20+C61</f>
        <v>680</v>
      </c>
      <c r="D76" s="296">
        <f t="shared" si="17"/>
        <v>820</v>
      </c>
      <c r="E76" s="296">
        <f t="shared" si="17"/>
        <v>960</v>
      </c>
      <c r="F76" s="296">
        <f t="shared" si="17"/>
        <v>1180</v>
      </c>
      <c r="G76" s="296">
        <f t="shared" si="17"/>
        <v>1320</v>
      </c>
      <c r="H76" s="296">
        <f t="shared" si="17"/>
        <v>1500</v>
      </c>
      <c r="I76" s="296">
        <f t="shared" si="17"/>
        <v>1740</v>
      </c>
      <c r="J76" s="295">
        <f t="shared" si="17"/>
        <v>2066.5360000000001</v>
      </c>
      <c r="K76" s="295">
        <f t="shared" si="17"/>
        <v>2307.5800000000004</v>
      </c>
    </row>
    <row r="77" spans="1:12" s="295" customFormat="1" ht="15" customHeight="1">
      <c r="A77" s="295" t="s">
        <v>166</v>
      </c>
      <c r="B77" s="296">
        <f>B11</f>
        <v>705</v>
      </c>
      <c r="C77" s="296">
        <f t="shared" ref="C77:K77" si="18">C11</f>
        <v>705</v>
      </c>
      <c r="D77" s="296">
        <f t="shared" si="18"/>
        <v>705</v>
      </c>
      <c r="E77" s="296">
        <f t="shared" si="18"/>
        <v>705</v>
      </c>
      <c r="F77" s="296">
        <f t="shared" si="18"/>
        <v>705</v>
      </c>
      <c r="G77" s="296">
        <f t="shared" si="18"/>
        <v>705</v>
      </c>
      <c r="H77" s="296">
        <f t="shared" si="18"/>
        <v>705</v>
      </c>
      <c r="I77" s="296">
        <f t="shared" si="18"/>
        <v>705</v>
      </c>
      <c r="J77" s="295">
        <f t="shared" si="18"/>
        <v>650</v>
      </c>
      <c r="K77" s="295">
        <f t="shared" si="18"/>
        <v>600</v>
      </c>
    </row>
    <row r="78" spans="1:12" s="295" customFormat="1" ht="15" customHeight="1">
      <c r="A78" s="295" t="s">
        <v>167</v>
      </c>
      <c r="B78" s="296">
        <f>B76*B77*PI()/30000</f>
        <v>41.343359321241678</v>
      </c>
      <c r="C78" s="296">
        <f t="shared" ref="C78:K78" si="19">C76*C77*PI()/30000</f>
        <v>50.202650604364898</v>
      </c>
      <c r="D78" s="296">
        <f t="shared" si="19"/>
        <v>60.538490434675317</v>
      </c>
      <c r="E78" s="296">
        <f t="shared" si="19"/>
        <v>70.87433026498573</v>
      </c>
      <c r="F78" s="296">
        <f t="shared" si="19"/>
        <v>87.116364284044977</v>
      </c>
      <c r="G78" s="296">
        <f t="shared" si="19"/>
        <v>97.452204114355382</v>
      </c>
      <c r="H78" s="296">
        <f t="shared" si="19"/>
        <v>110.7411410390402</v>
      </c>
      <c r="I78" s="296">
        <f t="shared" si="19"/>
        <v>128.45972360528663</v>
      </c>
      <c r="J78" s="295">
        <f t="shared" si="19"/>
        <v>140.66464351287482</v>
      </c>
      <c r="K78" s="295">
        <f t="shared" si="19"/>
        <v>144.98952751141474</v>
      </c>
    </row>
    <row r="79" spans="1:12" s="295" customFormat="1" ht="15" customHeight="1">
      <c r="A79" s="295" t="s">
        <v>168</v>
      </c>
      <c r="B79" s="296">
        <f>(3*B23/1000*B15^2+3*B73^2/B25+3*B24/1000*(B15^2-B32^2)+100)/1000</f>
        <v>3.0937588620923759</v>
      </c>
      <c r="C79" s="296">
        <f t="shared" ref="C79:K79" si="20">(3*C23/1000*C15^2+3*C73^2/C25+3*C24/1000*(C15^2-C32^2)+100)/1000</f>
        <v>3.1965111974064677</v>
      </c>
      <c r="D79" s="296">
        <f t="shared" si="20"/>
        <v>3.3153423024093116</v>
      </c>
      <c r="E79" s="296">
        <f t="shared" si="20"/>
        <v>3.4545252817123946</v>
      </c>
      <c r="F79" s="296">
        <f t="shared" si="20"/>
        <v>3.7217734920767129</v>
      </c>
      <c r="G79" s="296">
        <f t="shared" si="20"/>
        <v>3.9096217357946905</v>
      </c>
      <c r="H79" s="296">
        <f t="shared" si="20"/>
        <v>4.1367799700967209</v>
      </c>
      <c r="I79" s="296">
        <f t="shared" si="20"/>
        <v>4.506889831208329</v>
      </c>
      <c r="J79" s="295">
        <f t="shared" si="20"/>
        <v>4.6134851185821732</v>
      </c>
      <c r="K79" s="295">
        <f t="shared" si="20"/>
        <v>4.7801733567890876</v>
      </c>
    </row>
    <row r="80" spans="1:12" s="295" customFormat="1" ht="15" customHeight="1">
      <c r="A80" s="295" t="s">
        <v>169</v>
      </c>
      <c r="B80" s="296">
        <f>B78-B79</f>
        <v>38.249600459149299</v>
      </c>
      <c r="C80" s="296">
        <f t="shared" ref="C80:K80" si="21">C78-C79</f>
        <v>47.006139406958432</v>
      </c>
      <c r="D80" s="296">
        <f t="shared" si="21"/>
        <v>57.223148132266004</v>
      </c>
      <c r="E80" s="296">
        <f t="shared" si="21"/>
        <v>67.419804983273337</v>
      </c>
      <c r="F80" s="296">
        <f t="shared" si="21"/>
        <v>83.39459079196827</v>
      </c>
      <c r="G80" s="296">
        <f t="shared" si="21"/>
        <v>93.542582378560695</v>
      </c>
      <c r="H80" s="296">
        <f t="shared" si="21"/>
        <v>106.60436106894348</v>
      </c>
      <c r="I80" s="296">
        <f t="shared" si="21"/>
        <v>123.9528337740783</v>
      </c>
      <c r="J80" s="295">
        <f t="shared" si="21"/>
        <v>136.05115839429266</v>
      </c>
      <c r="K80" s="295">
        <f t="shared" si="21"/>
        <v>140.20935415462566</v>
      </c>
    </row>
    <row r="81" spans="1:11" s="295" customFormat="1" ht="15" customHeight="1">
      <c r="A81" s="295" t="s">
        <v>170</v>
      </c>
      <c r="B81" s="296">
        <f>B80/B78</f>
        <v>0.92516914655982374</v>
      </c>
      <c r="C81" s="296">
        <f t="shared" ref="C81:K81" si="22">C80/C78</f>
        <v>0.93632784008562797</v>
      </c>
      <c r="D81" s="296">
        <f t="shared" si="22"/>
        <v>0.94523579496937127</v>
      </c>
      <c r="E81" s="296">
        <f t="shared" si="22"/>
        <v>0.95125844196627218</v>
      </c>
      <c r="F81" s="296">
        <f t="shared" si="22"/>
        <v>0.95727813571349496</v>
      </c>
      <c r="G81" s="296">
        <f t="shared" si="22"/>
        <v>0.95988164894447192</v>
      </c>
      <c r="H81" s="296">
        <f t="shared" si="22"/>
        <v>0.96264459683832981</v>
      </c>
      <c r="I81" s="296">
        <f t="shared" si="22"/>
        <v>0.96491593080912674</v>
      </c>
      <c r="J81" s="295">
        <f t="shared" si="22"/>
        <v>0.96720224070976379</v>
      </c>
      <c r="K81" s="295">
        <f t="shared" si="22"/>
        <v>0.96703090603276332</v>
      </c>
    </row>
    <row r="82" spans="1:11" s="295" customFormat="1" ht="15" customHeight="1">
      <c r="A82" s="295" t="s">
        <v>171</v>
      </c>
      <c r="B82" s="296">
        <f>B80*1000/3^0.5/B14/B15</f>
        <v>0.66569923910204554</v>
      </c>
      <c r="C82" s="296">
        <f t="shared" ref="C82:K82" si="23">C80*1000/3^0.5/C14/C15</f>
        <v>0.68384213455946941</v>
      </c>
      <c r="D82" s="296">
        <f t="shared" si="23"/>
        <v>0.72309742167379343</v>
      </c>
      <c r="E82" s="296">
        <f t="shared" si="23"/>
        <v>0.72111796789914151</v>
      </c>
      <c r="F82" s="296">
        <f t="shared" si="23"/>
        <v>0.73036757140010256</v>
      </c>
      <c r="G82" s="296">
        <f t="shared" si="23"/>
        <v>0.72821792626781545</v>
      </c>
      <c r="H82" s="296">
        <f t="shared" si="23"/>
        <v>0.72596874314254667</v>
      </c>
      <c r="I82" s="296">
        <f t="shared" si="23"/>
        <v>0.72308998412940684</v>
      </c>
      <c r="J82" s="295">
        <f t="shared" si="23"/>
        <v>0.72683741083184727</v>
      </c>
      <c r="K82" s="295">
        <f t="shared" si="23"/>
        <v>0.70117675183025452</v>
      </c>
    </row>
    <row r="83" spans="1:11" s="285" customFormat="1" ht="15" customHeight="1">
      <c r="B83" s="284"/>
      <c r="C83" s="284"/>
      <c r="D83" s="284"/>
      <c r="E83" s="284"/>
      <c r="F83" s="284"/>
      <c r="G83" s="284"/>
      <c r="H83" s="284"/>
      <c r="I83" s="284"/>
    </row>
    <row r="84" spans="1:11" s="285" customFormat="1" ht="15" customHeight="1">
      <c r="B84" s="284"/>
      <c r="C84" s="284"/>
      <c r="D84" s="284"/>
      <c r="E84" s="284"/>
      <c r="F84" s="284"/>
      <c r="G84" s="284"/>
      <c r="H84" s="284"/>
      <c r="I84" s="284"/>
    </row>
    <row r="85" spans="1:11" s="285" customFormat="1" ht="15" customHeight="1">
      <c r="B85" s="284"/>
      <c r="C85" s="284"/>
      <c r="D85" s="284"/>
      <c r="E85" s="284"/>
      <c r="F85" s="284"/>
      <c r="G85" s="284"/>
      <c r="H85" s="284"/>
      <c r="I85" s="284"/>
    </row>
    <row r="86" spans="1:11" s="285" customFormat="1" ht="15" customHeight="1">
      <c r="B86" s="284"/>
      <c r="C86" s="284"/>
      <c r="D86" s="284"/>
      <c r="E86" s="284"/>
      <c r="F86" s="284"/>
      <c r="G86" s="284"/>
      <c r="H86" s="284"/>
      <c r="I86" s="284"/>
    </row>
    <row r="87" spans="1:11" s="285" customFormat="1" ht="15" customHeight="1">
      <c r="B87" s="284"/>
      <c r="C87" s="284"/>
      <c r="D87" s="284"/>
      <c r="E87" s="284"/>
      <c r="F87" s="284"/>
      <c r="G87" s="284"/>
      <c r="H87" s="284"/>
      <c r="I87" s="284"/>
    </row>
    <row r="88" spans="1:11" s="285" customFormat="1" ht="15" customHeight="1">
      <c r="B88" s="284"/>
      <c r="C88" s="284"/>
      <c r="D88" s="284"/>
      <c r="E88" s="284"/>
      <c r="F88" s="284"/>
      <c r="G88" s="284"/>
      <c r="H88" s="284"/>
      <c r="I88" s="284"/>
    </row>
    <row r="89" spans="1:11" s="285" customFormat="1" ht="15" customHeight="1">
      <c r="B89" s="284"/>
      <c r="C89" s="284"/>
      <c r="D89" s="284"/>
      <c r="E89" s="284"/>
      <c r="F89" s="284"/>
      <c r="G89" s="284"/>
      <c r="H89" s="284"/>
      <c r="I89" s="284"/>
    </row>
    <row r="90" spans="1:11" s="285" customFormat="1" ht="15" customHeight="1">
      <c r="B90" s="284"/>
      <c r="C90" s="284"/>
      <c r="D90" s="284"/>
      <c r="E90" s="284"/>
      <c r="F90" s="284"/>
      <c r="G90" s="284"/>
      <c r="H90" s="284"/>
      <c r="I90" s="284"/>
    </row>
    <row r="91" spans="1:11" s="285" customFormat="1" ht="15" customHeight="1">
      <c r="B91" s="284"/>
      <c r="C91" s="284"/>
      <c r="D91" s="284"/>
      <c r="E91" s="284"/>
      <c r="F91" s="284"/>
      <c r="G91" s="284"/>
      <c r="H91" s="284"/>
      <c r="I91" s="284"/>
    </row>
    <row r="92" spans="1:11" s="285" customFormat="1" ht="15" customHeight="1">
      <c r="B92" s="284"/>
      <c r="C92" s="284"/>
      <c r="D92" s="284"/>
      <c r="E92" s="284"/>
      <c r="F92" s="284"/>
      <c r="G92" s="284"/>
      <c r="H92" s="284"/>
      <c r="I92" s="284"/>
    </row>
    <row r="93" spans="1:11" s="285" customFormat="1" ht="15" customHeight="1">
      <c r="B93" s="284"/>
      <c r="C93" s="284"/>
      <c r="D93" s="284"/>
      <c r="E93" s="284"/>
      <c r="F93" s="284"/>
      <c r="G93" s="284"/>
      <c r="H93" s="284"/>
      <c r="I93" s="284"/>
    </row>
    <row r="94" spans="1:11" s="285" customFormat="1" ht="15" customHeight="1">
      <c r="B94" s="284"/>
      <c r="C94" s="284"/>
      <c r="D94" s="284"/>
      <c r="E94" s="284"/>
      <c r="F94" s="284"/>
      <c r="G94" s="284"/>
      <c r="H94" s="284"/>
      <c r="I94" s="284"/>
    </row>
    <row r="95" spans="1:11" s="285" customFormat="1" ht="15" customHeight="1">
      <c r="B95" s="284"/>
      <c r="C95" s="284"/>
      <c r="D95" s="284"/>
      <c r="E95" s="284"/>
      <c r="F95" s="284"/>
      <c r="G95" s="284"/>
      <c r="H95" s="284"/>
      <c r="I95" s="284"/>
    </row>
    <row r="96" spans="1:11" s="285" customFormat="1" ht="15" customHeight="1">
      <c r="B96" s="284"/>
      <c r="C96" s="284"/>
      <c r="D96" s="284"/>
      <c r="E96" s="284"/>
      <c r="F96" s="284"/>
      <c r="G96" s="284"/>
      <c r="H96" s="284"/>
      <c r="I96" s="284"/>
    </row>
    <row r="97" spans="2:9" s="285" customFormat="1" ht="15" customHeight="1">
      <c r="B97" s="284"/>
      <c r="C97" s="284"/>
      <c r="D97" s="284"/>
      <c r="E97" s="284"/>
      <c r="F97" s="284"/>
      <c r="G97" s="284"/>
      <c r="H97" s="284"/>
      <c r="I97" s="284"/>
    </row>
    <row r="98" spans="2:9" s="285" customFormat="1" ht="15" customHeight="1">
      <c r="B98" s="284"/>
      <c r="C98" s="284"/>
      <c r="D98" s="284"/>
      <c r="E98" s="284"/>
      <c r="F98" s="284"/>
      <c r="G98" s="284"/>
      <c r="H98" s="284"/>
      <c r="I98" s="284"/>
    </row>
    <row r="99" spans="2:9" s="285" customFormat="1" ht="15" customHeight="1">
      <c r="B99" s="284"/>
      <c r="C99" s="284"/>
      <c r="D99" s="284"/>
      <c r="E99" s="284"/>
      <c r="F99" s="284"/>
      <c r="G99" s="284"/>
      <c r="H99" s="284"/>
      <c r="I99" s="284"/>
    </row>
    <row r="100" spans="2:9" s="285" customFormat="1" ht="15" customHeight="1">
      <c r="B100" s="284"/>
      <c r="C100" s="284"/>
      <c r="D100" s="284"/>
      <c r="E100" s="284"/>
      <c r="F100" s="284"/>
      <c r="G100" s="284"/>
      <c r="H100" s="284"/>
      <c r="I100" s="284"/>
    </row>
    <row r="101" spans="2:9" s="285" customFormat="1" ht="15" customHeight="1">
      <c r="B101" s="284"/>
      <c r="C101" s="284"/>
      <c r="D101" s="284"/>
      <c r="E101" s="284"/>
      <c r="F101" s="284"/>
      <c r="G101" s="284"/>
      <c r="H101" s="284"/>
      <c r="I101" s="284"/>
    </row>
    <row r="102" spans="2:9" s="285" customFormat="1" ht="15" customHeight="1">
      <c r="B102" s="284"/>
      <c r="C102" s="284"/>
      <c r="D102" s="284"/>
      <c r="E102" s="284"/>
      <c r="F102" s="284"/>
      <c r="G102" s="284"/>
      <c r="H102" s="284"/>
      <c r="I102" s="284"/>
    </row>
    <row r="103" spans="2:9" s="285" customFormat="1" ht="15" customHeight="1">
      <c r="B103" s="284"/>
      <c r="C103" s="284"/>
      <c r="D103" s="284"/>
      <c r="E103" s="284"/>
      <c r="F103" s="284"/>
      <c r="G103" s="284"/>
      <c r="H103" s="284"/>
      <c r="I103" s="284"/>
    </row>
    <row r="104" spans="2:9" s="285" customFormat="1" ht="15" customHeight="1">
      <c r="B104" s="284"/>
      <c r="C104" s="284"/>
      <c r="D104" s="284"/>
      <c r="E104" s="284"/>
      <c r="F104" s="284"/>
      <c r="G104" s="284"/>
      <c r="H104" s="284"/>
      <c r="I104" s="284"/>
    </row>
    <row r="105" spans="2:9" s="285" customFormat="1" ht="15" customHeight="1">
      <c r="B105" s="284"/>
      <c r="C105" s="284"/>
      <c r="D105" s="284"/>
      <c r="E105" s="284"/>
      <c r="F105" s="284"/>
      <c r="G105" s="284"/>
      <c r="H105" s="284"/>
      <c r="I105" s="284"/>
    </row>
    <row r="106" spans="2:9" s="285" customFormat="1" ht="15" customHeight="1">
      <c r="B106" s="284"/>
      <c r="C106" s="284"/>
      <c r="D106" s="284"/>
      <c r="E106" s="284"/>
      <c r="F106" s="284"/>
      <c r="G106" s="284"/>
      <c r="H106" s="284"/>
      <c r="I106" s="284"/>
    </row>
    <row r="107" spans="2:9" s="285" customFormat="1" ht="15" customHeight="1">
      <c r="B107" s="284"/>
      <c r="C107" s="284"/>
      <c r="D107" s="284"/>
      <c r="E107" s="284"/>
      <c r="F107" s="284"/>
      <c r="G107" s="284"/>
      <c r="H107" s="284"/>
      <c r="I107" s="284"/>
    </row>
    <row r="108" spans="2:9" s="285" customFormat="1" ht="15" customHeight="1">
      <c r="B108" s="284"/>
      <c r="C108" s="284"/>
      <c r="D108" s="284"/>
      <c r="E108" s="284"/>
      <c r="F108" s="284"/>
      <c r="G108" s="284"/>
      <c r="H108" s="284"/>
      <c r="I108" s="284"/>
    </row>
    <row r="109" spans="2:9" s="285" customFormat="1" ht="15" customHeight="1">
      <c r="B109" s="284"/>
      <c r="C109" s="284"/>
      <c r="D109" s="284"/>
      <c r="E109" s="284"/>
      <c r="F109" s="284"/>
      <c r="G109" s="284"/>
      <c r="H109" s="284"/>
      <c r="I109" s="284"/>
    </row>
    <row r="110" spans="2:9" s="285" customFormat="1" ht="15" customHeight="1">
      <c r="B110" s="284"/>
      <c r="C110" s="284"/>
      <c r="D110" s="284"/>
      <c r="E110" s="284"/>
      <c r="F110" s="284"/>
      <c r="G110" s="284"/>
      <c r="H110" s="284"/>
      <c r="I110" s="284"/>
    </row>
    <row r="111" spans="2:9" s="285" customFormat="1" ht="15" customHeight="1">
      <c r="B111" s="284"/>
      <c r="C111" s="284"/>
      <c r="D111" s="284"/>
      <c r="E111" s="284"/>
      <c r="F111" s="284"/>
      <c r="G111" s="284"/>
      <c r="H111" s="284"/>
      <c r="I111" s="284"/>
    </row>
    <row r="112" spans="2:9" ht="15" customHeight="1">
      <c r="B112" s="239"/>
      <c r="C112" s="239"/>
      <c r="D112" s="239"/>
      <c r="E112" s="239"/>
      <c r="F112" s="239"/>
      <c r="G112" s="239"/>
      <c r="H112" s="239"/>
      <c r="I112" s="239"/>
    </row>
    <row r="113" spans="2:9" ht="15" customHeight="1">
      <c r="B113" s="239"/>
      <c r="C113" s="239"/>
      <c r="D113" s="239"/>
      <c r="E113" s="239"/>
      <c r="F113" s="239"/>
      <c r="G113" s="239"/>
      <c r="H113" s="239"/>
      <c r="I113" s="239"/>
    </row>
    <row r="114" spans="2:9" ht="15" customHeight="1">
      <c r="B114" s="239"/>
      <c r="C114" s="239"/>
      <c r="D114" s="239"/>
      <c r="E114" s="239"/>
      <c r="F114" s="239"/>
      <c r="G114" s="239"/>
      <c r="H114" s="239"/>
      <c r="I114" s="239"/>
    </row>
    <row r="115" spans="2:9" ht="15" customHeight="1">
      <c r="B115" s="239"/>
      <c r="C115" s="239"/>
      <c r="D115" s="239"/>
      <c r="E115" s="239"/>
      <c r="F115" s="239"/>
      <c r="G115" s="239"/>
      <c r="H115" s="239"/>
      <c r="I115" s="239"/>
    </row>
    <row r="116" spans="2:9" ht="15" customHeight="1">
      <c r="B116" s="239"/>
      <c r="C116" s="239"/>
      <c r="D116" s="239"/>
      <c r="E116" s="239"/>
      <c r="F116" s="239"/>
      <c r="G116" s="239"/>
      <c r="H116" s="239"/>
      <c r="I116" s="239"/>
    </row>
    <row r="117" spans="2:9" ht="15" customHeight="1">
      <c r="B117" s="239"/>
      <c r="C117" s="239"/>
      <c r="D117" s="239"/>
      <c r="E117" s="239"/>
      <c r="F117" s="239"/>
      <c r="G117" s="239"/>
      <c r="H117" s="239"/>
      <c r="I117" s="239"/>
    </row>
    <row r="118" spans="2:9" ht="15" customHeight="1">
      <c r="B118" s="239"/>
      <c r="C118" s="239"/>
      <c r="D118" s="239"/>
      <c r="E118" s="239"/>
      <c r="F118" s="239"/>
      <c r="G118" s="239"/>
      <c r="H118" s="239"/>
      <c r="I118" s="239"/>
    </row>
    <row r="119" spans="2:9" ht="15" customHeight="1">
      <c r="B119" s="239"/>
      <c r="C119" s="239"/>
      <c r="D119" s="239"/>
      <c r="E119" s="239"/>
      <c r="F119" s="239"/>
      <c r="G119" s="239"/>
      <c r="H119" s="239"/>
      <c r="I119" s="239"/>
    </row>
    <row r="120" spans="2:9" ht="15" customHeight="1">
      <c r="B120" s="239"/>
      <c r="C120" s="239"/>
      <c r="D120" s="239"/>
      <c r="E120" s="239"/>
      <c r="F120" s="239"/>
      <c r="G120" s="239"/>
      <c r="H120" s="239"/>
      <c r="I120" s="239"/>
    </row>
    <row r="121" spans="2:9" ht="15" customHeight="1">
      <c r="B121" s="239"/>
      <c r="C121" s="239"/>
      <c r="D121" s="239"/>
      <c r="E121" s="239"/>
      <c r="F121" s="239"/>
      <c r="G121" s="239"/>
      <c r="H121" s="239"/>
      <c r="I121" s="239"/>
    </row>
    <row r="122" spans="2:9" ht="15" customHeight="1">
      <c r="B122" s="239"/>
      <c r="C122" s="239"/>
      <c r="D122" s="239"/>
      <c r="E122" s="239"/>
      <c r="F122" s="239"/>
      <c r="G122" s="239"/>
      <c r="H122" s="239"/>
      <c r="I122" s="239"/>
    </row>
  </sheetData>
  <sheetProtection sheet="1" objects="1" scenarios="1"/>
  <pageMargins left="0.74803149606299213" right="0.39370078740157483" top="0.39370078740157483" bottom="0.59055118110236227" header="0.19685039370078741" footer="0.39370078740157483"/>
  <pageSetup paperSize="9" scale="44" fitToHeight="2" orientation="portrait" horizontalDpi="120" verticalDpi="14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>
              <from>
                <xdr:col>0</xdr:col>
                <xdr:colOff>104775</xdr:colOff>
                <xdr:row>1</xdr:row>
                <xdr:rowOff>142875</xdr:rowOff>
              </from>
              <to>
                <xdr:col>1</xdr:col>
                <xdr:colOff>723900</xdr:colOff>
                <xdr:row>4</xdr:row>
                <xdr:rowOff>76200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16"/>
  <sheetViews>
    <sheetView topLeftCell="A59" workbookViewId="0">
      <selection activeCell="L73" sqref="L73"/>
    </sheetView>
  </sheetViews>
  <sheetFormatPr defaultColWidth="11.42578125" defaultRowHeight="15"/>
  <cols>
    <col min="1" max="1" width="11.42578125" style="299"/>
    <col min="2" max="2" width="16.28515625" style="299" customWidth="1"/>
    <col min="3" max="3" width="14.85546875" style="299" customWidth="1"/>
    <col min="4" max="5" width="11.42578125" style="300"/>
    <col min="6" max="14" width="9.28515625" style="302" customWidth="1"/>
    <col min="15" max="15" width="9.28515625" style="303" hidden="1" customWidth="1"/>
    <col min="16" max="16" width="9.28515625" style="302" hidden="1" customWidth="1"/>
    <col min="17" max="17" width="9.28515625" style="304" hidden="1" customWidth="1"/>
    <col min="18" max="18" width="9.28515625" style="303" hidden="1" customWidth="1"/>
    <col min="19" max="19" width="8.42578125" style="302" hidden="1" customWidth="1"/>
    <col min="20" max="20" width="9.28515625" style="304" hidden="1" customWidth="1"/>
    <col min="21" max="21" width="9.28515625" style="305" customWidth="1"/>
    <col min="22" max="23" width="9.28515625" style="302" hidden="1" customWidth="1"/>
    <col min="24" max="25" width="9.28515625" style="302" customWidth="1"/>
    <col min="26" max="26" width="11.42578125" style="306"/>
    <col min="27" max="28" width="16.42578125" style="307" customWidth="1"/>
    <col min="29" max="16384" width="11.42578125" style="299"/>
  </cols>
  <sheetData>
    <row r="1" spans="1:31" ht="16.5" thickBot="1">
      <c r="B1" s="21" t="str">
        <f>RESUM!G8</f>
        <v>MAC QE 200 P</v>
      </c>
      <c r="C1" s="21"/>
      <c r="E1" s="301" t="s">
        <v>180</v>
      </c>
      <c r="P1" s="302">
        <f>P6/O6</f>
        <v>2.5983533186833379</v>
      </c>
      <c r="S1" s="302">
        <f>S6/R6</f>
        <v>2.5983533186833379</v>
      </c>
      <c r="AA1" s="307" t="s">
        <v>181</v>
      </c>
      <c r="AD1" s="687"/>
      <c r="AE1" s="687"/>
    </row>
    <row r="2" spans="1:31" ht="15.75">
      <c r="B2" s="368" t="str">
        <f>RESUM!G9</f>
        <v>F61</v>
      </c>
      <c r="C2" s="24"/>
      <c r="E2" s="309" t="s">
        <v>182</v>
      </c>
      <c r="F2" s="302" t="s">
        <v>183</v>
      </c>
      <c r="G2" s="302" t="s">
        <v>184</v>
      </c>
      <c r="H2" s="302" t="s">
        <v>153</v>
      </c>
      <c r="I2" s="302" t="s">
        <v>79</v>
      </c>
      <c r="J2" s="302" t="s">
        <v>185</v>
      </c>
      <c r="K2" s="302" t="s">
        <v>186</v>
      </c>
      <c r="L2" s="302" t="s">
        <v>187</v>
      </c>
      <c r="M2" s="302" t="s">
        <v>188</v>
      </c>
      <c r="N2" s="302" t="s">
        <v>189</v>
      </c>
      <c r="O2" s="310" t="s">
        <v>190</v>
      </c>
      <c r="P2" s="311" t="s">
        <v>191</v>
      </c>
      <c r="Q2" s="312" t="s">
        <v>192</v>
      </c>
      <c r="R2" s="310" t="s">
        <v>193</v>
      </c>
      <c r="S2" s="311" t="s">
        <v>194</v>
      </c>
      <c r="T2" s="312" t="s">
        <v>195</v>
      </c>
      <c r="U2" s="313" t="s">
        <v>155</v>
      </c>
      <c r="V2" s="302" t="s">
        <v>196</v>
      </c>
      <c r="W2" s="302" t="s">
        <v>197</v>
      </c>
      <c r="X2" s="302" t="s">
        <v>198</v>
      </c>
      <c r="Y2" s="302" t="s">
        <v>199</v>
      </c>
      <c r="AA2" s="307" t="s">
        <v>200</v>
      </c>
      <c r="AB2" s="307" t="s">
        <v>201</v>
      </c>
      <c r="AD2" s="308"/>
      <c r="AE2" s="308"/>
    </row>
    <row r="3" spans="1:31" ht="15.75">
      <c r="B3" s="27">
        <f>RESUM!G10</f>
        <v>6</v>
      </c>
      <c r="C3" s="27"/>
      <c r="E3" s="314">
        <f t="shared" ref="E3:E23" si="0">X3/F3</f>
        <v>3.6133117056661095</v>
      </c>
      <c r="F3" s="315">
        <f>$B$9-B27/120*$B$3</f>
        <v>64</v>
      </c>
      <c r="G3" s="316">
        <f t="shared" ref="G3:G23" si="1">H3/I3</f>
        <v>7.8125000061035162E-10</v>
      </c>
      <c r="H3" s="317">
        <v>9.9999999999999995E-7</v>
      </c>
      <c r="I3" s="318">
        <f>F3*120/$B3-$H3</f>
        <v>1279.9999989999999</v>
      </c>
      <c r="J3" s="319">
        <f t="shared" ref="J3:J23" si="2">3*(1-G3)/G3*$B$17/1000*M3^2/1000</f>
        <v>6.6899577958579671E-6</v>
      </c>
      <c r="K3" s="318">
        <f t="shared" ref="K3:K23" si="3">J3/I3*1000*30/PI()</f>
        <v>4.9909680614943019E-5</v>
      </c>
      <c r="L3" s="317">
        <f>B25</f>
        <v>101.43541686790246</v>
      </c>
      <c r="M3" s="318">
        <f t="shared" ref="M3:M23" si="4">U3/$B$17*1000*G3</f>
        <v>1.0505305140701754E-5</v>
      </c>
      <c r="N3" s="318">
        <f t="shared" ref="N3:N23" si="5">(L3^2+M3^2)^0.5</f>
        <v>101.43541686790302</v>
      </c>
      <c r="O3" s="320">
        <f t="shared" ref="O3:P18" si="6">$B$16*L3/1000</f>
        <v>1.3374439666463793</v>
      </c>
      <c r="P3" s="302">
        <f t="shared" si="6"/>
        <v>1.3851431198343822E-7</v>
      </c>
      <c r="Q3" s="321">
        <f t="shared" ref="Q3:Q23" si="7">N3*$B$16/1000</f>
        <v>1.3374439666463869</v>
      </c>
      <c r="R3" s="320">
        <f t="shared" ref="R3:R23" si="8">2*PI()*F3*$B$19*L3/1000</f>
        <v>18.975719649806393</v>
      </c>
      <c r="S3" s="319">
        <f t="shared" ref="S3:S23" si="9">2*PI()*F3*$B$19*M3/1000</f>
        <v>1.9652477540978692E-6</v>
      </c>
      <c r="T3" s="321">
        <f t="shared" ref="T3:T23" si="10">2*PI()*F3*$B$19*N3/1000</f>
        <v>18.9757196498065</v>
      </c>
      <c r="U3" s="322">
        <f>$B$21*2*PI()*F3*L3/1000</f>
        <v>212.27236180460619</v>
      </c>
      <c r="V3" s="319">
        <f t="shared" ref="V3:V23" si="11">O3-S3</f>
        <v>1.3374420013986252</v>
      </c>
      <c r="W3" s="319">
        <f t="shared" ref="W3:W23" si="12">P3+R3+U3</f>
        <v>231.24808159292689</v>
      </c>
      <c r="X3" s="323">
        <f t="shared" ref="X3:X23" si="13">(W3^2+V3^2)^0.5</f>
        <v>231.25194916263101</v>
      </c>
      <c r="Y3" s="323">
        <f t="shared" ref="Y3:Y23" si="14">X3*3^0.5</f>
        <v>400.54012529901195</v>
      </c>
      <c r="AA3" s="307">
        <v>0</v>
      </c>
      <c r="AB3" s="307">
        <v>0</v>
      </c>
      <c r="AD3" s="324"/>
      <c r="AE3" s="324"/>
    </row>
    <row r="4" spans="1:31" ht="15.75">
      <c r="A4" s="299" t="s">
        <v>76</v>
      </c>
      <c r="B4" s="29">
        <f>RESUM!G11</f>
        <v>705</v>
      </c>
      <c r="C4" s="29"/>
      <c r="E4" s="314">
        <f t="shared" si="0"/>
        <v>3.6463436933557687</v>
      </c>
      <c r="F4" s="315">
        <f>$F$3+H4/120*$B$3</f>
        <v>64.5</v>
      </c>
      <c r="G4" s="316">
        <f t="shared" si="1"/>
        <v>7.812500006103517E-3</v>
      </c>
      <c r="H4" s="317">
        <f>H5/2</f>
        <v>10</v>
      </c>
      <c r="I4" s="318">
        <f>I3</f>
        <v>1279.9999989999999</v>
      </c>
      <c r="J4" s="319">
        <f t="shared" si="2"/>
        <v>67.418115837238318</v>
      </c>
      <c r="K4" s="318">
        <f t="shared" si="3"/>
        <v>502.96529989787007</v>
      </c>
      <c r="L4" s="317">
        <f>L3</f>
        <v>101.43541686790246</v>
      </c>
      <c r="M4" s="318">
        <f t="shared" si="4"/>
        <v>105.87377837113485</v>
      </c>
      <c r="N4" s="318">
        <f t="shared" si="5"/>
        <v>146.62332945935083</v>
      </c>
      <c r="O4" s="320">
        <f t="shared" si="6"/>
        <v>1.3374439666463793</v>
      </c>
      <c r="P4" s="319">
        <f t="shared" si="6"/>
        <v>1.3959645504580882</v>
      </c>
      <c r="Q4" s="321">
        <f t="shared" si="7"/>
        <v>1.9332546107676698</v>
      </c>
      <c r="R4" s="320">
        <f t="shared" si="8"/>
        <v>19.123967459570508</v>
      </c>
      <c r="S4" s="319">
        <f t="shared" si="9"/>
        <v>19.96074699459389</v>
      </c>
      <c r="T4" s="321">
        <f t="shared" si="10"/>
        <v>27.643399790490694</v>
      </c>
      <c r="U4" s="322">
        <f>$B$21*2*PI()*F4*L4/1000</f>
        <v>213.93073963120466</v>
      </c>
      <c r="V4" s="319">
        <f t="shared" si="11"/>
        <v>-18.623303027947511</v>
      </c>
      <c r="W4" s="319">
        <f t="shared" si="12"/>
        <v>234.45067164123327</v>
      </c>
      <c r="X4" s="323">
        <f t="shared" si="13"/>
        <v>235.18916822144709</v>
      </c>
      <c r="Y4" s="323">
        <f t="shared" si="14"/>
        <v>407.35958874940997</v>
      </c>
      <c r="Z4" s="306" t="s">
        <v>155</v>
      </c>
      <c r="AA4" s="307">
        <v>0</v>
      </c>
      <c r="AB4" s="325">
        <f>U9</f>
        <v>211.13251053788267</v>
      </c>
      <c r="AD4" s="308"/>
      <c r="AE4" s="308"/>
    </row>
    <row r="5" spans="1:31" ht="15.75">
      <c r="A5" s="299" t="s">
        <v>79</v>
      </c>
      <c r="B5" s="32">
        <f>RESUM!G12</f>
        <v>1280</v>
      </c>
      <c r="C5" s="32"/>
      <c r="D5" s="326" t="s">
        <v>202</v>
      </c>
      <c r="E5" s="327">
        <f t="shared" si="0"/>
        <v>3.7059498836134099</v>
      </c>
      <c r="F5" s="328">
        <f t="shared" ref="F5:F23" si="15">$F$3+H5/120*$B$3</f>
        <v>65</v>
      </c>
      <c r="G5" s="329">
        <f t="shared" si="1"/>
        <v>1.5625000012207034E-2</v>
      </c>
      <c r="H5" s="330">
        <f>B27</f>
        <v>20</v>
      </c>
      <c r="I5" s="331">
        <f t="shared" ref="I5:I17" si="16">I4</f>
        <v>1279.9999989999999</v>
      </c>
      <c r="J5" s="332">
        <f t="shared" si="2"/>
        <v>135.85659161999385</v>
      </c>
      <c r="K5" s="331">
        <f t="shared" si="3"/>
        <v>1013.5428808514705</v>
      </c>
      <c r="L5" s="330">
        <f>L4</f>
        <v>101.43541686790246</v>
      </c>
      <c r="M5" s="331">
        <f t="shared" si="4"/>
        <v>213.38901067050438</v>
      </c>
      <c r="N5" s="331">
        <f t="shared" si="5"/>
        <v>236.27105973881308</v>
      </c>
      <c r="O5" s="333">
        <f t="shared" si="6"/>
        <v>1.3374439666463793</v>
      </c>
      <c r="P5" s="332">
        <f t="shared" si="6"/>
        <v>2.8135719621635888</v>
      </c>
      <c r="Q5" s="334">
        <f t="shared" si="7"/>
        <v>3.1152758385401236</v>
      </c>
      <c r="R5" s="333">
        <f t="shared" si="8"/>
        <v>19.27221526933462</v>
      </c>
      <c r="S5" s="332">
        <f t="shared" si="9"/>
        <v>40.542830864567854</v>
      </c>
      <c r="T5" s="334">
        <f t="shared" si="10"/>
        <v>44.89030425270618</v>
      </c>
      <c r="U5" s="335">
        <f>$B$21*1*2*PI()*F5*L5/1000</f>
        <v>215.58911745780316</v>
      </c>
      <c r="V5" s="332">
        <f t="shared" si="11"/>
        <v>-39.205386897921471</v>
      </c>
      <c r="W5" s="332">
        <f t="shared" si="12"/>
        <v>237.67490468930137</v>
      </c>
      <c r="X5" s="336">
        <f t="shared" si="13"/>
        <v>240.88674243487165</v>
      </c>
      <c r="Y5" s="336">
        <f t="shared" si="14"/>
        <v>417.22807676695555</v>
      </c>
      <c r="Z5" s="306" t="s">
        <v>203</v>
      </c>
      <c r="AA5" s="337">
        <f>AA4+O9</f>
        <v>1.2914564336084378</v>
      </c>
      <c r="AB5" s="325">
        <f>AB4+0</f>
        <v>211.13251053788267</v>
      </c>
      <c r="AD5" s="308"/>
      <c r="AE5" s="308"/>
    </row>
    <row r="6" spans="1:31" ht="15.75">
      <c r="A6" s="299" t="s">
        <v>78</v>
      </c>
      <c r="B6" s="35">
        <f>RESUM!G13</f>
        <v>94.451199999999986</v>
      </c>
      <c r="C6" s="35"/>
      <c r="D6" s="338"/>
      <c r="E6" s="314">
        <f t="shared" si="0"/>
        <v>3.7102563360143113</v>
      </c>
      <c r="F6" s="315">
        <f t="shared" si="15"/>
        <v>65.230769230769226</v>
      </c>
      <c r="G6" s="316">
        <f t="shared" si="1"/>
        <v>1.9230769245793269E-2</v>
      </c>
      <c r="H6" s="317">
        <f>H5+($H$18-$H$5)/13</f>
        <v>24.615384615384613</v>
      </c>
      <c r="I6" s="318">
        <f t="shared" si="16"/>
        <v>1279.9999989999999</v>
      </c>
      <c r="J6" s="319">
        <f t="shared" si="2"/>
        <v>164.90851526105186</v>
      </c>
      <c r="K6" s="318">
        <f t="shared" si="3"/>
        <v>1230.2815022927978</v>
      </c>
      <c r="L6" s="317">
        <f>L5+(L$18-L$5)/13</f>
        <v>100.56346172421766</v>
      </c>
      <c r="M6" s="318">
        <f t="shared" si="4"/>
        <v>261.2994045094058</v>
      </c>
      <c r="N6" s="318">
        <f t="shared" si="5"/>
        <v>279.98283631488601</v>
      </c>
      <c r="O6" s="320">
        <f t="shared" si="6"/>
        <v>1.325947083386894</v>
      </c>
      <c r="P6" s="319">
        <f t="shared" si="6"/>
        <v>3.4452790045168289</v>
      </c>
      <c r="Q6" s="321">
        <f t="shared" si="7"/>
        <v>3.6916233674234262</v>
      </c>
      <c r="R6" s="320">
        <f t="shared" si="8"/>
        <v>19.17438210887731</v>
      </c>
      <c r="S6" s="319">
        <f t="shared" si="9"/>
        <v>49.82181938630378</v>
      </c>
      <c r="T6" s="321">
        <f t="shared" si="10"/>
        <v>53.384179456265024</v>
      </c>
      <c r="U6" s="322">
        <f t="shared" ref="U6:U23" si="17">$B$21*1*2*PI()*F6*L6/1000</f>
        <v>214.49470436484344</v>
      </c>
      <c r="V6" s="319">
        <f t="shared" si="11"/>
        <v>-48.495872302916887</v>
      </c>
      <c r="W6" s="319">
        <f t="shared" si="12"/>
        <v>237.11436547823757</v>
      </c>
      <c r="X6" s="323">
        <f t="shared" si="13"/>
        <v>242.02287484154891</v>
      </c>
      <c r="Y6" s="323">
        <f t="shared" si="14"/>
        <v>419.1959158194461</v>
      </c>
      <c r="Z6" s="306" t="s">
        <v>191</v>
      </c>
      <c r="AA6" s="337">
        <f>AA5+0</f>
        <v>1.2914564336084378</v>
      </c>
      <c r="AB6" s="337">
        <f>AB5+P9</f>
        <v>216.43137683070884</v>
      </c>
      <c r="AD6" s="308"/>
      <c r="AE6" s="308"/>
    </row>
    <row r="7" spans="1:31" ht="15.75">
      <c r="A7" s="299" t="s">
        <v>128</v>
      </c>
      <c r="B7" s="29">
        <f>RESUM!G14</f>
        <v>399.68681987238136</v>
      </c>
      <c r="C7" s="29"/>
      <c r="D7" s="338"/>
      <c r="E7" s="314">
        <f t="shared" si="0"/>
        <v>3.7194497698707276</v>
      </c>
      <c r="F7" s="315">
        <f t="shared" si="15"/>
        <v>65.461538461538467</v>
      </c>
      <c r="G7" s="316">
        <f t="shared" si="1"/>
        <v>2.2836538479379505E-2</v>
      </c>
      <c r="H7" s="317">
        <f t="shared" ref="H7:H17" si="18">H6+($H$18-$H$5)/13</f>
        <v>29.230769230769226</v>
      </c>
      <c r="I7" s="318">
        <f t="shared" si="16"/>
        <v>1279.9999989999999</v>
      </c>
      <c r="J7" s="319">
        <f t="shared" si="2"/>
        <v>193.0991630384255</v>
      </c>
      <c r="K7" s="318">
        <f t="shared" si="3"/>
        <v>1440.5946716476474</v>
      </c>
      <c r="L7" s="317">
        <f t="shared" ref="L7:L17" si="19">L6+(L$18-L$5)/13</f>
        <v>99.69150658053286</v>
      </c>
      <c r="M7" s="318">
        <f t="shared" si="4"/>
        <v>308.6908030967507</v>
      </c>
      <c r="N7" s="318">
        <f t="shared" si="5"/>
        <v>324.38928527436497</v>
      </c>
      <c r="O7" s="320">
        <f t="shared" si="6"/>
        <v>1.3144502001274085</v>
      </c>
      <c r="P7" s="319">
        <f t="shared" si="6"/>
        <v>4.0701430024054677</v>
      </c>
      <c r="Q7" s="321">
        <f t="shared" si="7"/>
        <v>4.2771302749209283</v>
      </c>
      <c r="R7" s="320">
        <f t="shared" si="8"/>
        <v>19.075372614270226</v>
      </c>
      <c r="S7" s="319">
        <f t="shared" si="9"/>
        <v>59.066136059565672</v>
      </c>
      <c r="T7" s="321">
        <f t="shared" si="10"/>
        <v>62.069946587542468</v>
      </c>
      <c r="U7" s="322">
        <f t="shared" si="17"/>
        <v>213.38713218053678</v>
      </c>
      <c r="V7" s="319">
        <f t="shared" si="11"/>
        <v>-57.751685859438261</v>
      </c>
      <c r="W7" s="319">
        <f t="shared" si="12"/>
        <v>236.53264779721246</v>
      </c>
      <c r="X7" s="323">
        <f t="shared" si="13"/>
        <v>243.48090416615304</v>
      </c>
      <c r="Y7" s="323">
        <f t="shared" si="14"/>
        <v>421.72129668858577</v>
      </c>
      <c r="Z7" s="306" t="s">
        <v>204</v>
      </c>
      <c r="AA7" s="337">
        <f>AA6-S9</f>
        <v>-76.148146255897373</v>
      </c>
      <c r="AB7" s="337">
        <f>AB6</f>
        <v>216.43137683070884</v>
      </c>
      <c r="AD7" s="308"/>
      <c r="AE7" s="308"/>
    </row>
    <row r="8" spans="1:31" ht="15.75">
      <c r="A8" s="299" t="s">
        <v>32</v>
      </c>
      <c r="B8" s="38">
        <f>RESUM!G15</f>
        <v>185.40753107296055</v>
      </c>
      <c r="C8" s="38"/>
      <c r="D8" s="338"/>
      <c r="E8" s="314">
        <f t="shared" si="0"/>
        <v>3.7333205255566164</v>
      </c>
      <c r="F8" s="315">
        <f t="shared" si="15"/>
        <v>65.692307692307693</v>
      </c>
      <c r="G8" s="316">
        <f t="shared" si="1"/>
        <v>2.6442307712965744E-2</v>
      </c>
      <c r="H8" s="317">
        <f t="shared" si="18"/>
        <v>33.84615384615384</v>
      </c>
      <c r="I8" s="318">
        <f t="shared" si="16"/>
        <v>1279.9999989999999</v>
      </c>
      <c r="J8" s="319">
        <f t="shared" si="2"/>
        <v>220.42964619442796</v>
      </c>
      <c r="K8" s="318">
        <f t="shared" si="3"/>
        <v>1644.4906792147963</v>
      </c>
      <c r="L8" s="317">
        <f t="shared" si="19"/>
        <v>98.819551436848059</v>
      </c>
      <c r="M8" s="318">
        <f t="shared" si="4"/>
        <v>355.55418926219477</v>
      </c>
      <c r="N8" s="318">
        <f t="shared" si="5"/>
        <v>369.03127949819714</v>
      </c>
      <c r="O8" s="320">
        <f t="shared" si="6"/>
        <v>1.302953316867923</v>
      </c>
      <c r="P8" s="319">
        <f t="shared" si="6"/>
        <v>4.6880450628388166</v>
      </c>
      <c r="Q8" s="321">
        <f t="shared" si="7"/>
        <v>4.865742888516051</v>
      </c>
      <c r="R8" s="320">
        <f t="shared" si="8"/>
        <v>18.975186785513358</v>
      </c>
      <c r="S8" s="319">
        <f t="shared" si="9"/>
        <v>68.272999173989234</v>
      </c>
      <c r="T8" s="321">
        <f t="shared" si="10"/>
        <v>70.860850472998536</v>
      </c>
      <c r="U8" s="322">
        <f t="shared" si="17"/>
        <v>212.2664009048832</v>
      </c>
      <c r="V8" s="319">
        <f t="shared" si="11"/>
        <v>-66.970045857121306</v>
      </c>
      <c r="W8" s="319">
        <f t="shared" si="12"/>
        <v>235.92963275323538</v>
      </c>
      <c r="X8" s="323">
        <f t="shared" si="13"/>
        <v>245.2504406788731</v>
      </c>
      <c r="Y8" s="323">
        <f t="shared" si="14"/>
        <v>424.78622383446515</v>
      </c>
      <c r="Z8" s="306" t="s">
        <v>205</v>
      </c>
      <c r="AA8" s="337">
        <f>AA7</f>
        <v>-76.148146255897373</v>
      </c>
      <c r="AB8" s="337">
        <f>AB7+R9</f>
        <v>235.30520145331553</v>
      </c>
      <c r="AC8" s="299">
        <f>(AB8^2+AA8^2)^0.5</f>
        <v>247.31978895590814</v>
      </c>
      <c r="AD8" s="308"/>
      <c r="AE8" s="308"/>
    </row>
    <row r="9" spans="1:31" ht="15.75">
      <c r="A9" s="299" t="s">
        <v>80</v>
      </c>
      <c r="B9" s="38">
        <f>RESUM!G16</f>
        <v>65</v>
      </c>
      <c r="C9" s="38"/>
      <c r="D9" s="338"/>
      <c r="E9" s="314">
        <f t="shared" si="0"/>
        <v>3.7516420728434148</v>
      </c>
      <c r="F9" s="315">
        <f t="shared" si="15"/>
        <v>65.92307692307692</v>
      </c>
      <c r="G9" s="316">
        <f t="shared" si="1"/>
        <v>3.0048076946551979E-2</v>
      </c>
      <c r="H9" s="317">
        <f t="shared" si="18"/>
        <v>38.461538461538453</v>
      </c>
      <c r="I9" s="318">
        <f t="shared" si="16"/>
        <v>1279.9999989999999</v>
      </c>
      <c r="J9" s="319">
        <f t="shared" si="2"/>
        <v>246.90140336986195</v>
      </c>
      <c r="K9" s="318">
        <f t="shared" si="3"/>
        <v>1841.9802578127726</v>
      </c>
      <c r="L9" s="317">
        <f t="shared" si="19"/>
        <v>97.947596293163258</v>
      </c>
      <c r="M9" s="318">
        <f t="shared" si="4"/>
        <v>401.88054583539355</v>
      </c>
      <c r="N9" s="318">
        <f t="shared" si="5"/>
        <v>413.64441823934038</v>
      </c>
      <c r="O9" s="320">
        <f t="shared" si="6"/>
        <v>1.2914564336084378</v>
      </c>
      <c r="P9" s="319">
        <f t="shared" si="6"/>
        <v>5.298866292826184</v>
      </c>
      <c r="Q9" s="321">
        <f t="shared" si="7"/>
        <v>5.4539750374527864</v>
      </c>
      <c r="R9" s="320">
        <f t="shared" si="8"/>
        <v>18.873824622606705</v>
      </c>
      <c r="S9" s="319">
        <f t="shared" si="9"/>
        <v>77.439602689505804</v>
      </c>
      <c r="T9" s="321">
        <f t="shared" si="10"/>
        <v>79.706419569526716</v>
      </c>
      <c r="U9" s="322">
        <f t="shared" si="17"/>
        <v>211.13251053788267</v>
      </c>
      <c r="V9" s="319">
        <f t="shared" si="11"/>
        <v>-76.148146255897373</v>
      </c>
      <c r="W9" s="319">
        <f t="shared" si="12"/>
        <v>235.30520145331556</v>
      </c>
      <c r="X9" s="323">
        <f t="shared" si="13"/>
        <v>247.31978895590817</v>
      </c>
      <c r="Y9" s="323">
        <f t="shared" si="14"/>
        <v>428.37044018884501</v>
      </c>
      <c r="Z9" s="306" t="s">
        <v>198</v>
      </c>
      <c r="AA9" s="307">
        <v>0</v>
      </c>
      <c r="AB9" s="307">
        <v>0</v>
      </c>
      <c r="AD9" s="308"/>
      <c r="AE9" s="308"/>
    </row>
    <row r="10" spans="1:31" ht="15.75">
      <c r="A10" s="299" t="s">
        <v>131</v>
      </c>
      <c r="B10" s="40">
        <f>RESUM!G17</f>
        <v>0.77080000000000004</v>
      </c>
      <c r="C10" s="40"/>
      <c r="D10" s="338"/>
      <c r="E10" s="314">
        <f t="shared" si="0"/>
        <v>3.7741741639524138</v>
      </c>
      <c r="F10" s="315">
        <f t="shared" si="15"/>
        <v>66.15384615384616</v>
      </c>
      <c r="G10" s="316">
        <f t="shared" si="1"/>
        <v>3.3653846180138218E-2</v>
      </c>
      <c r="H10" s="317">
        <f t="shared" si="18"/>
        <v>43.076923076923066</v>
      </c>
      <c r="I10" s="318">
        <f t="shared" si="16"/>
        <v>1279.9999989999999</v>
      </c>
      <c r="J10" s="319">
        <f t="shared" si="2"/>
        <v>272.51619961562102</v>
      </c>
      <c r="K10" s="318">
        <f t="shared" si="3"/>
        <v>2033.0765754060174</v>
      </c>
      <c r="L10" s="317">
        <f t="shared" si="19"/>
        <v>97.075641149478457</v>
      </c>
      <c r="M10" s="318">
        <f t="shared" si="4"/>
        <v>447.66085564600297</v>
      </c>
      <c r="N10" s="318">
        <f t="shared" si="5"/>
        <v>458.06541212177746</v>
      </c>
      <c r="O10" s="320">
        <f t="shared" si="6"/>
        <v>1.2799595503489523</v>
      </c>
      <c r="P10" s="319">
        <f t="shared" si="6"/>
        <v>5.9024877993768845</v>
      </c>
      <c r="Q10" s="321">
        <f t="shared" si="7"/>
        <v>6.0396737223398471</v>
      </c>
      <c r="R10" s="320">
        <f t="shared" si="8"/>
        <v>18.771286125550283</v>
      </c>
      <c r="S10" s="319">
        <f t="shared" si="9"/>
        <v>86.563116236342566</v>
      </c>
      <c r="T10" s="321">
        <f t="shared" si="10"/>
        <v>88.575020606002852</v>
      </c>
      <c r="U10" s="322">
        <f t="shared" si="17"/>
        <v>209.9854610795353</v>
      </c>
      <c r="V10" s="319">
        <f t="shared" si="11"/>
        <v>-85.283156685993617</v>
      </c>
      <c r="W10" s="319">
        <f t="shared" si="12"/>
        <v>234.65923500446246</v>
      </c>
      <c r="X10" s="323">
        <f t="shared" si="13"/>
        <v>249.67613699992893</v>
      </c>
      <c r="Y10" s="323">
        <f t="shared" si="14"/>
        <v>432.45175472140454</v>
      </c>
      <c r="AD10" s="308"/>
      <c r="AE10" s="308"/>
    </row>
    <row r="11" spans="1:31" ht="15.75">
      <c r="A11" s="299" t="s">
        <v>141</v>
      </c>
      <c r="B11" s="43">
        <f>RESUM!G18</f>
        <v>0.96199999999999997</v>
      </c>
      <c r="C11" s="43"/>
      <c r="D11" s="338"/>
      <c r="E11" s="314">
        <f t="shared" si="0"/>
        <v>3.8006660071313925</v>
      </c>
      <c r="F11" s="315">
        <f t="shared" si="15"/>
        <v>66.384615384615387</v>
      </c>
      <c r="G11" s="316">
        <f t="shared" si="1"/>
        <v>3.7259615413724453E-2</v>
      </c>
      <c r="H11" s="317">
        <f t="shared" si="18"/>
        <v>47.692307692307679</v>
      </c>
      <c r="I11" s="318">
        <f t="shared" si="16"/>
        <v>1279.9999989999999</v>
      </c>
      <c r="J11" s="319">
        <f t="shared" si="2"/>
        <v>297.27612532727579</v>
      </c>
      <c r="K11" s="318">
        <f t="shared" si="3"/>
        <v>2217.7952271564836</v>
      </c>
      <c r="L11" s="317">
        <f t="shared" si="19"/>
        <v>96.203686005793656</v>
      </c>
      <c r="M11" s="318">
        <f t="shared" si="4"/>
        <v>492.88610152367835</v>
      </c>
      <c r="N11" s="318">
        <f t="shared" si="5"/>
        <v>502.18707497934582</v>
      </c>
      <c r="O11" s="320">
        <f t="shared" si="6"/>
        <v>1.2684626670894668</v>
      </c>
      <c r="P11" s="319">
        <f t="shared" si="6"/>
        <v>6.4987906895002236</v>
      </c>
      <c r="Q11" s="321">
        <f t="shared" si="7"/>
        <v>6.6214256745609186</v>
      </c>
      <c r="R11" s="320">
        <f t="shared" si="8"/>
        <v>18.667571294344075</v>
      </c>
      <c r="S11" s="319">
        <f t="shared" si="9"/>
        <v>95.64068511502218</v>
      </c>
      <c r="T11" s="321">
        <f t="shared" si="10"/>
        <v>97.445466119775134</v>
      </c>
      <c r="U11" s="322">
        <f t="shared" si="17"/>
        <v>208.82525252984098</v>
      </c>
      <c r="V11" s="319">
        <f t="shared" si="11"/>
        <v>-94.372222447932714</v>
      </c>
      <c r="W11" s="319">
        <f t="shared" si="12"/>
        <v>233.99161451368528</v>
      </c>
      <c r="X11" s="323">
        <f t="shared" si="13"/>
        <v>252.30575108879938</v>
      </c>
      <c r="Y11" s="323">
        <f t="shared" si="14"/>
        <v>437.00637992762711</v>
      </c>
      <c r="AD11" s="308"/>
      <c r="AE11" s="308"/>
    </row>
    <row r="12" spans="1:31" ht="15.75">
      <c r="A12" s="299" t="s">
        <v>142</v>
      </c>
      <c r="B12" s="46">
        <f>RESUM!G19</f>
        <v>1.315005809909723</v>
      </c>
      <c r="C12" s="46"/>
      <c r="D12" s="338"/>
      <c r="E12" s="314">
        <f t="shared" si="0"/>
        <v>3.8308593584006645</v>
      </c>
      <c r="F12" s="315">
        <f t="shared" si="15"/>
        <v>66.615384615384613</v>
      </c>
      <c r="G12" s="316">
        <f t="shared" si="1"/>
        <v>4.0865384647310689E-2</v>
      </c>
      <c r="H12" s="317">
        <f t="shared" si="18"/>
        <v>52.307692307692292</v>
      </c>
      <c r="I12" s="318">
        <f t="shared" si="16"/>
        <v>1279.9999989999999</v>
      </c>
      <c r="J12" s="319">
        <f t="shared" si="2"/>
        <v>321.18359510264906</v>
      </c>
      <c r="K12" s="318">
        <f t="shared" si="3"/>
        <v>2396.154226900705</v>
      </c>
      <c r="L12" s="317">
        <f t="shared" si="19"/>
        <v>95.331730862108856</v>
      </c>
      <c r="M12" s="318">
        <f t="shared" si="4"/>
        <v>537.54726629807544</v>
      </c>
      <c r="N12" s="318">
        <f t="shared" si="5"/>
        <v>545.93516319586854</v>
      </c>
      <c r="O12" s="320">
        <f t="shared" si="6"/>
        <v>1.2569657838299813</v>
      </c>
      <c r="P12" s="319">
        <f t="shared" si="6"/>
        <v>7.0876560702055142</v>
      </c>
      <c r="Q12" s="321">
        <f t="shared" si="7"/>
        <v>7.1982519788654518</v>
      </c>
      <c r="R12" s="320">
        <f t="shared" si="8"/>
        <v>18.562680128988081</v>
      </c>
      <c r="S12" s="319">
        <f t="shared" si="9"/>
        <v>104.6694302963631</v>
      </c>
      <c r="T12" s="321">
        <f t="shared" si="10"/>
        <v>106.30269390818063</v>
      </c>
      <c r="U12" s="322">
        <f t="shared" si="17"/>
        <v>207.65188488879971</v>
      </c>
      <c r="V12" s="319">
        <f t="shared" si="11"/>
        <v>-103.41246451253312</v>
      </c>
      <c r="W12" s="319">
        <f t="shared" si="12"/>
        <v>233.3022210879933</v>
      </c>
      <c r="X12" s="323">
        <f t="shared" si="13"/>
        <v>255.19416956730581</v>
      </c>
      <c r="Y12" s="323">
        <f t="shared" si="14"/>
        <v>442.00926748592099</v>
      </c>
      <c r="AB12" s="337"/>
      <c r="AD12" s="308"/>
      <c r="AE12" s="308"/>
    </row>
    <row r="13" spans="1:31" ht="15.75">
      <c r="B13" s="48">
        <f>RESUM!G20</f>
        <v>0</v>
      </c>
      <c r="C13" s="48"/>
      <c r="E13" s="314">
        <f t="shared" si="0"/>
        <v>3.8644914458640756</v>
      </c>
      <c r="F13" s="315">
        <f t="shared" si="15"/>
        <v>66.84615384615384</v>
      </c>
      <c r="G13" s="316">
        <f t="shared" si="1"/>
        <v>4.4471153880896924E-2</v>
      </c>
      <c r="H13" s="317">
        <f t="shared" si="18"/>
        <v>56.923076923076906</v>
      </c>
      <c r="I13" s="318">
        <f t="shared" si="16"/>
        <v>1279.9999989999999</v>
      </c>
      <c r="J13" s="319">
        <f t="shared" si="2"/>
        <v>344.24134652237581</v>
      </c>
      <c r="K13" s="318">
        <f t="shared" si="3"/>
        <v>2568.1739980522993</v>
      </c>
      <c r="L13" s="317">
        <f t="shared" si="19"/>
        <v>94.459775718424055</v>
      </c>
      <c r="M13" s="318">
        <f t="shared" si="4"/>
        <v>581.63533279884984</v>
      </c>
      <c r="N13" s="318">
        <f t="shared" si="5"/>
        <v>589.25572512178769</v>
      </c>
      <c r="O13" s="320">
        <f t="shared" si="6"/>
        <v>1.2454689005704958</v>
      </c>
      <c r="P13" s="319">
        <f t="shared" si="6"/>
        <v>7.6689650485020646</v>
      </c>
      <c r="Q13" s="321">
        <f t="shared" si="7"/>
        <v>7.7694412731826832</v>
      </c>
      <c r="R13" s="320">
        <f t="shared" si="8"/>
        <v>18.456612629482311</v>
      </c>
      <c r="S13" s="319">
        <f t="shared" si="9"/>
        <v>113.64644842147949</v>
      </c>
      <c r="T13" s="321">
        <f t="shared" si="10"/>
        <v>115.1354063204311</v>
      </c>
      <c r="U13" s="322">
        <f t="shared" si="17"/>
        <v>206.46535815641155</v>
      </c>
      <c r="V13" s="319">
        <f t="shared" si="11"/>
        <v>-112.40097952090899</v>
      </c>
      <c r="W13" s="319">
        <f t="shared" si="12"/>
        <v>232.59093583439594</v>
      </c>
      <c r="X13" s="323">
        <f t="shared" si="13"/>
        <v>258.3263897273755</v>
      </c>
      <c r="Y13" s="323">
        <f t="shared" si="14"/>
        <v>447.43443194365324</v>
      </c>
      <c r="AD13" s="308"/>
      <c r="AE13" s="308"/>
    </row>
    <row r="14" spans="1:31" ht="15.75">
      <c r="B14" s="49" t="str">
        <f>RESUM!G21</f>
        <v>MAC QE 200 P</v>
      </c>
      <c r="C14" s="49"/>
      <c r="E14" s="314">
        <f t="shared" si="0"/>
        <v>3.9012976603392104</v>
      </c>
      <c r="F14" s="315">
        <f t="shared" si="15"/>
        <v>67.07692307692308</v>
      </c>
      <c r="G14" s="316">
        <f t="shared" si="1"/>
        <v>4.807692311448316E-2</v>
      </c>
      <c r="H14" s="317">
        <f t="shared" si="18"/>
        <v>61.538461538461519</v>
      </c>
      <c r="I14" s="318">
        <f t="shared" si="16"/>
        <v>1279.9999989999999</v>
      </c>
      <c r="J14" s="319">
        <f t="shared" si="2"/>
        <v>366.45243885345025</v>
      </c>
      <c r="K14" s="318">
        <f t="shared" si="3"/>
        <v>2733.8773639299261</v>
      </c>
      <c r="L14" s="317">
        <f t="shared" si="19"/>
        <v>93.587820574739254</v>
      </c>
      <c r="M14" s="318">
        <f t="shared" si="4"/>
        <v>625.14128385565732</v>
      </c>
      <c r="N14" s="318">
        <f t="shared" si="5"/>
        <v>632.1078269889</v>
      </c>
      <c r="O14" s="320">
        <f t="shared" si="6"/>
        <v>1.2339720173110107</v>
      </c>
      <c r="P14" s="319">
        <f t="shared" si="6"/>
        <v>8.2425987313991858</v>
      </c>
      <c r="Q14" s="321">
        <f t="shared" si="7"/>
        <v>8.3344538385169606</v>
      </c>
      <c r="R14" s="320">
        <f t="shared" si="8"/>
        <v>18.349368795826766</v>
      </c>
      <c r="S14" s="319">
        <f t="shared" si="9"/>
        <v>122.56881180178119</v>
      </c>
      <c r="T14" s="321">
        <f t="shared" si="10"/>
        <v>123.9347124969664</v>
      </c>
      <c r="U14" s="322">
        <f t="shared" si="17"/>
        <v>205.26567233267647</v>
      </c>
      <c r="V14" s="319">
        <f t="shared" si="11"/>
        <v>-121.33483978447019</v>
      </c>
      <c r="W14" s="319">
        <f t="shared" si="12"/>
        <v>231.85763985990243</v>
      </c>
      <c r="X14" s="323">
        <f t="shared" si="13"/>
        <v>261.68704306275322</v>
      </c>
      <c r="Y14" s="323">
        <f t="shared" si="14"/>
        <v>453.25525426715325</v>
      </c>
      <c r="AD14" s="308"/>
      <c r="AE14" s="308"/>
    </row>
    <row r="15" spans="1:31" ht="15.75">
      <c r="B15" s="367" t="str">
        <f>RESUM!G22</f>
        <v>F61</v>
      </c>
      <c r="C15" s="50"/>
      <c r="E15" s="314">
        <f t="shared" si="0"/>
        <v>3.9410139660699648</v>
      </c>
      <c r="F15" s="315">
        <f t="shared" si="15"/>
        <v>67.307692307692307</v>
      </c>
      <c r="G15" s="316">
        <f t="shared" si="1"/>
        <v>5.1682692348069395E-2</v>
      </c>
      <c r="H15" s="317">
        <f t="shared" si="18"/>
        <v>66.153846153846132</v>
      </c>
      <c r="I15" s="318">
        <f t="shared" si="16"/>
        <v>1279.9999989999999</v>
      </c>
      <c r="J15" s="319">
        <f t="shared" si="2"/>
        <v>387.82025167575966</v>
      </c>
      <c r="K15" s="318">
        <f t="shared" si="3"/>
        <v>2893.2895375106982</v>
      </c>
      <c r="L15" s="317">
        <f t="shared" si="19"/>
        <v>92.715865431054453</v>
      </c>
      <c r="M15" s="318">
        <f t="shared" si="4"/>
        <v>668.05610229815363</v>
      </c>
      <c r="N15" s="318">
        <f t="shared" si="5"/>
        <v>674.45918150799207</v>
      </c>
      <c r="O15" s="320">
        <f t="shared" si="6"/>
        <v>1.2224751340515252</v>
      </c>
      <c r="P15" s="319">
        <f t="shared" si="6"/>
        <v>8.8084382259061957</v>
      </c>
      <c r="Q15" s="321">
        <f t="shared" si="7"/>
        <v>8.8928639612320488</v>
      </c>
      <c r="R15" s="320">
        <f t="shared" si="8"/>
        <v>18.240948628021432</v>
      </c>
      <c r="S15" s="319">
        <f t="shared" si="9"/>
        <v>131.43356841897369</v>
      </c>
      <c r="T15" s="321">
        <f t="shared" si="10"/>
        <v>132.69331224366644</v>
      </c>
      <c r="U15" s="322">
        <f t="shared" si="17"/>
        <v>204.0528274175945</v>
      </c>
      <c r="V15" s="319">
        <f t="shared" si="11"/>
        <v>-130.21109328492216</v>
      </c>
      <c r="W15" s="319">
        <f t="shared" si="12"/>
        <v>231.10221427152214</v>
      </c>
      <c r="X15" s="323">
        <f t="shared" si="13"/>
        <v>265.26055540855532</v>
      </c>
      <c r="Y15" s="323">
        <f t="shared" si="14"/>
        <v>459.44475921155714</v>
      </c>
      <c r="AD15" s="308"/>
      <c r="AE15" s="308"/>
    </row>
    <row r="16" spans="1:31" ht="15.75">
      <c r="A16" s="299" t="s">
        <v>143</v>
      </c>
      <c r="B16" s="339">
        <f>RESUM!G23</f>
        <v>13.185177405916406</v>
      </c>
      <c r="C16" s="52"/>
      <c r="E16" s="314">
        <f t="shared" si="0"/>
        <v>3.9833790043257986</v>
      </c>
      <c r="F16" s="315">
        <f t="shared" si="15"/>
        <v>67.538461538461533</v>
      </c>
      <c r="G16" s="316">
        <f t="shared" si="1"/>
        <v>5.5288461581655637E-2</v>
      </c>
      <c r="H16" s="317">
        <f t="shared" si="18"/>
        <v>70.769230769230745</v>
      </c>
      <c r="I16" s="318">
        <f t="shared" si="16"/>
        <v>1279.9999989999999</v>
      </c>
      <c r="J16" s="319">
        <f t="shared" si="2"/>
        <v>408.34848343160337</v>
      </c>
      <c r="K16" s="318">
        <f t="shared" si="3"/>
        <v>3046.4381106090264</v>
      </c>
      <c r="L16" s="317">
        <f t="shared" si="19"/>
        <v>91.843910287369653</v>
      </c>
      <c r="M16" s="318">
        <f t="shared" si="4"/>
        <v>710.3707709559942</v>
      </c>
      <c r="N16" s="318">
        <f t="shared" si="5"/>
        <v>716.28341882629672</v>
      </c>
      <c r="O16" s="320">
        <f t="shared" si="6"/>
        <v>1.2109782507920397</v>
      </c>
      <c r="P16" s="319">
        <f t="shared" si="6"/>
        <v>9.3663646390323922</v>
      </c>
      <c r="Q16" s="321">
        <f t="shared" si="7"/>
        <v>9.4443239501410456</v>
      </c>
      <c r="R16" s="320">
        <f t="shared" si="8"/>
        <v>18.131352126066322</v>
      </c>
      <c r="S16" s="319">
        <f t="shared" si="9"/>
        <v>140.23774192505812</v>
      </c>
      <c r="T16" s="321">
        <f t="shared" si="10"/>
        <v>141.40498644021937</v>
      </c>
      <c r="U16" s="322">
        <f t="shared" si="17"/>
        <v>202.82682341116558</v>
      </c>
      <c r="V16" s="319">
        <f t="shared" si="11"/>
        <v>-139.02676367426608</v>
      </c>
      <c r="W16" s="319">
        <f t="shared" si="12"/>
        <v>230.32454017626429</v>
      </c>
      <c r="X16" s="323">
        <f t="shared" si="13"/>
        <v>269.03128967677316</v>
      </c>
      <c r="Y16" s="323">
        <f t="shared" si="14"/>
        <v>465.97586254595149</v>
      </c>
      <c r="AD16" s="308"/>
      <c r="AE16" s="308"/>
    </row>
    <row r="17" spans="1:31" ht="15.75">
      <c r="A17" s="299" t="s">
        <v>144</v>
      </c>
      <c r="B17" s="54">
        <f>RESUM!G24</f>
        <v>15.786098601447328</v>
      </c>
      <c r="C17" s="52"/>
      <c r="E17" s="314">
        <f t="shared" si="0"/>
        <v>4.0281358795929991</v>
      </c>
      <c r="F17" s="315">
        <f t="shared" si="15"/>
        <v>67.769230769230774</v>
      </c>
      <c r="G17" s="316">
        <f t="shared" si="1"/>
        <v>5.8894230815241873E-2</v>
      </c>
      <c r="H17" s="317">
        <f t="shared" si="18"/>
        <v>75.384615384615358</v>
      </c>
      <c r="I17" s="318">
        <f t="shared" si="16"/>
        <v>1279.9999989999999</v>
      </c>
      <c r="J17" s="319">
        <f t="shared" si="2"/>
        <v>428.04114989820113</v>
      </c>
      <c r="K17" s="318">
        <f t="shared" si="3"/>
        <v>3193.3530424809474</v>
      </c>
      <c r="L17" s="317">
        <f t="shared" si="19"/>
        <v>90.971955143684852</v>
      </c>
      <c r="M17" s="318">
        <f t="shared" si="4"/>
        <v>752.07627265883468</v>
      </c>
      <c r="N17" s="318">
        <f t="shared" si="5"/>
        <v>757.55832548990611</v>
      </c>
      <c r="O17" s="320">
        <f t="shared" si="6"/>
        <v>1.1994813675325542</v>
      </c>
      <c r="P17" s="319">
        <f t="shared" si="6"/>
        <v>9.9162590777870943</v>
      </c>
      <c r="Q17" s="321">
        <f t="shared" si="7"/>
        <v>9.9885409169133759</v>
      </c>
      <c r="R17" s="320">
        <f t="shared" si="8"/>
        <v>18.020579289961436</v>
      </c>
      <c r="S17" s="319">
        <f t="shared" si="9"/>
        <v>148.97833164233145</v>
      </c>
      <c r="T17" s="321">
        <f t="shared" si="10"/>
        <v>150.06426815494186</v>
      </c>
      <c r="U17" s="322">
        <f t="shared" si="17"/>
        <v>201.58766031338976</v>
      </c>
      <c r="V17" s="319">
        <f t="shared" si="11"/>
        <v>-147.77885027479891</v>
      </c>
      <c r="W17" s="319">
        <f t="shared" si="12"/>
        <v>229.52449868113828</v>
      </c>
      <c r="X17" s="323">
        <f t="shared" si="13"/>
        <v>272.98366999395637</v>
      </c>
      <c r="Y17" s="323">
        <f t="shared" si="14"/>
        <v>472.82158606614797</v>
      </c>
      <c r="AD17" s="308"/>
      <c r="AE17" s="308"/>
    </row>
    <row r="18" spans="1:31" ht="15.75">
      <c r="A18" s="299" t="s">
        <v>145</v>
      </c>
      <c r="B18" s="54">
        <f>RESUM!G25</f>
        <v>112.33354377914422</v>
      </c>
      <c r="C18" s="52"/>
      <c r="E18" s="327">
        <f t="shared" si="0"/>
        <v>4.0750336321149403</v>
      </c>
      <c r="F18" s="328">
        <f t="shared" si="15"/>
        <v>68</v>
      </c>
      <c r="G18" s="329">
        <f t="shared" si="1"/>
        <v>6.2500000048828136E-2</v>
      </c>
      <c r="H18" s="330">
        <v>80</v>
      </c>
      <c r="I18" s="331">
        <f>I12</f>
        <v>1279.9999989999999</v>
      </c>
      <c r="J18" s="332">
        <f t="shared" si="2"/>
        <v>446.90258258318477</v>
      </c>
      <c r="K18" s="331">
        <f t="shared" si="3"/>
        <v>3334.0666478538565</v>
      </c>
      <c r="L18" s="330">
        <v>90.1</v>
      </c>
      <c r="M18" s="331">
        <f t="shared" si="4"/>
        <v>793.16359023633072</v>
      </c>
      <c r="N18" s="331">
        <f t="shared" si="5"/>
        <v>798.26467470168438</v>
      </c>
      <c r="O18" s="333">
        <f t="shared" si="6"/>
        <v>1.187984484273068</v>
      </c>
      <c r="P18" s="332">
        <f t="shared" si="6"/>
        <v>10.458002649179605</v>
      </c>
      <c r="Q18" s="334">
        <f t="shared" si="7"/>
        <v>10.525261352817859</v>
      </c>
      <c r="R18" s="333">
        <f t="shared" si="8"/>
        <v>17.90863011970675</v>
      </c>
      <c r="S18" s="332">
        <f t="shared" si="9"/>
        <v>157.65231256338623</v>
      </c>
      <c r="T18" s="334">
        <f t="shared" si="10"/>
        <v>158.66622416049387</v>
      </c>
      <c r="U18" s="335">
        <f t="shared" si="17"/>
        <v>200.33533812426691</v>
      </c>
      <c r="V18" s="332">
        <f t="shared" si="11"/>
        <v>-156.46432807911316</v>
      </c>
      <c r="W18" s="332">
        <f t="shared" si="12"/>
        <v>228.70197089315326</v>
      </c>
      <c r="X18" s="336">
        <f t="shared" si="13"/>
        <v>277.10228698381593</v>
      </c>
      <c r="Y18" s="336">
        <f t="shared" si="14"/>
        <v>479.95523994950116</v>
      </c>
      <c r="AD18" s="308"/>
      <c r="AE18" s="308"/>
    </row>
    <row r="19" spans="1:31" ht="15.75">
      <c r="A19" s="299" t="s">
        <v>146</v>
      </c>
      <c r="B19" s="54">
        <f>RESUM!G26+B20*B26/B8</f>
        <v>0.46520973551539646</v>
      </c>
      <c r="C19" s="340" t="s">
        <v>206</v>
      </c>
      <c r="D19" s="326" t="s">
        <v>207</v>
      </c>
      <c r="E19" s="327">
        <f t="shared" si="0"/>
        <v>4.0452886905099863</v>
      </c>
      <c r="F19" s="328">
        <f t="shared" si="15"/>
        <v>68.5</v>
      </c>
      <c r="G19" s="329">
        <f t="shared" si="1"/>
        <v>7.0312500054931643E-2</v>
      </c>
      <c r="H19" s="330">
        <f>H18+10</f>
        <v>90</v>
      </c>
      <c r="I19" s="331">
        <f>I18</f>
        <v>1279.9999989999999</v>
      </c>
      <c r="J19" s="332">
        <f t="shared" si="2"/>
        <v>453.57041770276271</v>
      </c>
      <c r="K19" s="331">
        <f t="shared" si="3"/>
        <v>3383.811284720965</v>
      </c>
      <c r="L19" s="330">
        <v>85.31</v>
      </c>
      <c r="M19" s="331">
        <f t="shared" si="4"/>
        <v>851.08336523363198</v>
      </c>
      <c r="N19" s="331">
        <f t="shared" si="5"/>
        <v>855.34828618370648</v>
      </c>
      <c r="O19" s="333">
        <f t="shared" ref="O19:P23" si="20">$B$16*L19/1000</f>
        <v>1.1248274844987287</v>
      </c>
      <c r="P19" s="332">
        <f t="shared" si="20"/>
        <v>11.221685157829784</v>
      </c>
      <c r="Q19" s="334">
        <f t="shared" si="7"/>
        <v>11.277918897178726</v>
      </c>
      <c r="R19" s="333">
        <f t="shared" si="8"/>
        <v>17.081231414863311</v>
      </c>
      <c r="S19" s="332">
        <f t="shared" si="9"/>
        <v>170.40853258581996</v>
      </c>
      <c r="T19" s="334">
        <f t="shared" si="10"/>
        <v>171.26247821604292</v>
      </c>
      <c r="U19" s="335">
        <f t="shared" si="17"/>
        <v>191.07962184723067</v>
      </c>
      <c r="V19" s="332">
        <f t="shared" si="11"/>
        <v>-169.28370510132123</v>
      </c>
      <c r="W19" s="332">
        <f t="shared" si="12"/>
        <v>219.38253841992378</v>
      </c>
      <c r="X19" s="336">
        <f t="shared" si="13"/>
        <v>277.10227529993404</v>
      </c>
      <c r="Y19" s="336">
        <f t="shared" si="14"/>
        <v>479.95521971242408</v>
      </c>
      <c r="AD19" s="308"/>
      <c r="AE19" s="308"/>
    </row>
    <row r="20" spans="1:31" ht="15.75">
      <c r="B20" s="41">
        <f>RESUM!G27</f>
        <v>0.24554822450004252</v>
      </c>
      <c r="C20" s="54"/>
      <c r="E20" s="327">
        <f t="shared" si="0"/>
        <v>4.0163721926836935</v>
      </c>
      <c r="F20" s="328">
        <f t="shared" si="15"/>
        <v>69</v>
      </c>
      <c r="G20" s="329">
        <f t="shared" si="1"/>
        <v>7.8125000061035163E-2</v>
      </c>
      <c r="H20" s="330">
        <f>H19+10</f>
        <v>100</v>
      </c>
      <c r="I20" s="331">
        <f>I19</f>
        <v>1279.9999989999999</v>
      </c>
      <c r="J20" s="332">
        <f t="shared" si="2"/>
        <v>453.50929413366816</v>
      </c>
      <c r="K20" s="331">
        <f t="shared" si="3"/>
        <v>3383.3552791818202</v>
      </c>
      <c r="L20" s="330">
        <v>80.680000000000007</v>
      </c>
      <c r="M20" s="331">
        <f t="shared" si="4"/>
        <v>900.85327041816993</v>
      </c>
      <c r="N20" s="331">
        <f t="shared" si="5"/>
        <v>904.45888641945044</v>
      </c>
      <c r="O20" s="333">
        <f t="shared" si="20"/>
        <v>1.0637801131093356</v>
      </c>
      <c r="P20" s="332">
        <f t="shared" si="20"/>
        <v>11.877910187163556</v>
      </c>
      <c r="Q20" s="334">
        <f t="shared" si="7"/>
        <v>11.92545087379805</v>
      </c>
      <c r="R20" s="333">
        <f t="shared" si="8"/>
        <v>16.272101453613292</v>
      </c>
      <c r="S20" s="332">
        <f t="shared" si="9"/>
        <v>181.69032983470242</v>
      </c>
      <c r="T20" s="334">
        <f t="shared" si="10"/>
        <v>182.41753545413235</v>
      </c>
      <c r="U20" s="335">
        <f t="shared" si="17"/>
        <v>182.02826932668671</v>
      </c>
      <c r="V20" s="332">
        <f t="shared" si="11"/>
        <v>-180.62654972159308</v>
      </c>
      <c r="W20" s="332">
        <f t="shared" si="12"/>
        <v>210.17828096746356</v>
      </c>
      <c r="X20" s="336">
        <f t="shared" si="13"/>
        <v>277.12968129517486</v>
      </c>
      <c r="Y20" s="336">
        <f t="shared" si="14"/>
        <v>480.00268828861317</v>
      </c>
      <c r="AD20" s="308"/>
      <c r="AE20" s="308"/>
    </row>
    <row r="21" spans="1:31" ht="15.75">
      <c r="A21" s="299" t="s">
        <v>148</v>
      </c>
      <c r="B21" s="54">
        <f>RESUM!G28</f>
        <v>5.2040803255309971</v>
      </c>
      <c r="C21" s="54"/>
      <c r="E21" s="314">
        <f t="shared" si="0"/>
        <v>4.0087750183745685</v>
      </c>
      <c r="F21" s="315">
        <f t="shared" si="15"/>
        <v>69.5</v>
      </c>
      <c r="G21" s="316">
        <f t="shared" si="1"/>
        <v>8.5937500067138684E-2</v>
      </c>
      <c r="H21" s="317">
        <f>H20+10</f>
        <v>110</v>
      </c>
      <c r="I21" s="318">
        <f>I20</f>
        <v>1279.9999989999999</v>
      </c>
      <c r="J21" s="319">
        <f t="shared" si="2"/>
        <v>452.89900829268862</v>
      </c>
      <c r="K21" s="318">
        <f t="shared" si="3"/>
        <v>3378.8023100396281</v>
      </c>
      <c r="L21" s="317">
        <f>L20*0.95</f>
        <v>76.646000000000001</v>
      </c>
      <c r="M21" s="318">
        <f t="shared" si="4"/>
        <v>948.21334633761796</v>
      </c>
      <c r="N21" s="318">
        <f t="shared" si="5"/>
        <v>951.30602830465841</v>
      </c>
      <c r="O21" s="320">
        <f t="shared" si="20"/>
        <v>1.0105911074538689</v>
      </c>
      <c r="P21" s="319">
        <f t="shared" si="20"/>
        <v>12.502361190119149</v>
      </c>
      <c r="Q21" s="321">
        <f t="shared" si="7"/>
        <v>12.543138750514654</v>
      </c>
      <c r="R21" s="320">
        <f t="shared" si="8"/>
        <v>15.570514470649531</v>
      </c>
      <c r="S21" s="319">
        <f t="shared" si="9"/>
        <v>192.62805143664241</v>
      </c>
      <c r="T21" s="321">
        <f t="shared" si="10"/>
        <v>193.25632491889746</v>
      </c>
      <c r="U21" s="322">
        <f t="shared" si="17"/>
        <v>174.17994901876071</v>
      </c>
      <c r="V21" s="319">
        <f t="shared" si="11"/>
        <v>-191.61746032918853</v>
      </c>
      <c r="W21" s="319">
        <f t="shared" si="12"/>
        <v>202.2528246795294</v>
      </c>
      <c r="X21" s="323">
        <f t="shared" si="13"/>
        <v>278.6098637770325</v>
      </c>
      <c r="Y21" s="323">
        <f t="shared" si="14"/>
        <v>482.56643955166402</v>
      </c>
      <c r="AD21" s="308"/>
      <c r="AE21" s="308"/>
    </row>
    <row r="22" spans="1:31" ht="15.75">
      <c r="A22" s="299" t="s">
        <v>149</v>
      </c>
      <c r="B22" s="54">
        <f>RESUM!G29</f>
        <v>0.41438568563449552</v>
      </c>
      <c r="C22" s="54"/>
      <c r="E22" s="314">
        <f t="shared" si="0"/>
        <v>4.0024897792883092</v>
      </c>
      <c r="F22" s="315">
        <f t="shared" si="15"/>
        <v>70</v>
      </c>
      <c r="G22" s="316">
        <f t="shared" si="1"/>
        <v>9.375000007324219E-2</v>
      </c>
      <c r="H22" s="317">
        <f>H21+10</f>
        <v>120</v>
      </c>
      <c r="I22" s="318">
        <f>I21</f>
        <v>1279.9999989999999</v>
      </c>
      <c r="J22" s="319">
        <f t="shared" si="2"/>
        <v>448.47241937682679</v>
      </c>
      <c r="K22" s="318">
        <f t="shared" si="3"/>
        <v>3345.7782393734287</v>
      </c>
      <c r="L22" s="317">
        <f>L21*0.95</f>
        <v>72.813699999999997</v>
      </c>
      <c r="M22" s="318">
        <f t="shared" si="4"/>
        <v>989.7635714550936</v>
      </c>
      <c r="N22" s="318">
        <f t="shared" si="5"/>
        <v>992.43829142533195</v>
      </c>
      <c r="O22" s="320">
        <f t="shared" si="20"/>
        <v>0.96006155208117538</v>
      </c>
      <c r="P22" s="319">
        <f t="shared" si="20"/>
        <v>13.050208279548828</v>
      </c>
      <c r="Q22" s="321">
        <f t="shared" si="7"/>
        <v>13.085474936867568</v>
      </c>
      <c r="R22" s="320">
        <f t="shared" si="8"/>
        <v>14.89840593234811</v>
      </c>
      <c r="S22" s="319">
        <f t="shared" si="9"/>
        <v>202.51545333623508</v>
      </c>
      <c r="T22" s="321">
        <f t="shared" si="10"/>
        <v>203.0627275974245</v>
      </c>
      <c r="U22" s="322">
        <f t="shared" si="17"/>
        <v>166.6613900683106</v>
      </c>
      <c r="V22" s="319">
        <f t="shared" si="11"/>
        <v>-201.5553917841539</v>
      </c>
      <c r="W22" s="319">
        <f t="shared" si="12"/>
        <v>194.61000428020753</v>
      </c>
      <c r="X22" s="323">
        <f t="shared" si="13"/>
        <v>280.17428455018165</v>
      </c>
      <c r="Y22" s="323">
        <f t="shared" si="14"/>
        <v>485.27609581517453</v>
      </c>
      <c r="AD22" s="308"/>
      <c r="AE22" s="308"/>
    </row>
    <row r="23" spans="1:31" ht="15.75">
      <c r="A23" s="299" t="s">
        <v>150</v>
      </c>
      <c r="B23" s="54">
        <f>RESUM!G30</f>
        <v>0.34521693343099968</v>
      </c>
      <c r="C23" s="54"/>
      <c r="E23" s="314">
        <f t="shared" si="0"/>
        <v>3.996088000174423</v>
      </c>
      <c r="F23" s="315">
        <f t="shared" si="15"/>
        <v>70.5</v>
      </c>
      <c r="G23" s="316">
        <f t="shared" si="1"/>
        <v>0.10156250007934571</v>
      </c>
      <c r="H23" s="317">
        <f>H22+10</f>
        <v>130</v>
      </c>
      <c r="I23" s="318">
        <f>I22</f>
        <v>1279.9999989999999</v>
      </c>
      <c r="J23" s="319">
        <f t="shared" si="2"/>
        <v>440.92737354056356</v>
      </c>
      <c r="K23" s="318">
        <f t="shared" si="3"/>
        <v>3289.4892702343168</v>
      </c>
      <c r="L23" s="317">
        <f>L22*0.95</f>
        <v>69.173014999999992</v>
      </c>
      <c r="M23" s="318">
        <f t="shared" si="4"/>
        <v>1025.9076161626945</v>
      </c>
      <c r="N23" s="318">
        <f t="shared" si="5"/>
        <v>1028.2370071655721</v>
      </c>
      <c r="O23" s="320">
        <f t="shared" si="20"/>
        <v>0.91205847447711652</v>
      </c>
      <c r="P23" s="319">
        <f t="shared" si="20"/>
        <v>13.526773921185919</v>
      </c>
      <c r="Q23" s="321">
        <f t="shared" si="7"/>
        <v>13.557487354806605</v>
      </c>
      <c r="R23" s="320">
        <f t="shared" si="8"/>
        <v>14.254581961700209</v>
      </c>
      <c r="S23" s="319">
        <f t="shared" si="9"/>
        <v>211.41024718560567</v>
      </c>
      <c r="T23" s="321">
        <f t="shared" si="10"/>
        <v>211.89026811531886</v>
      </c>
      <c r="U23" s="322">
        <f t="shared" si="17"/>
        <v>159.45923714035857</v>
      </c>
      <c r="V23" s="319">
        <f t="shared" si="11"/>
        <v>-210.49818871112856</v>
      </c>
      <c r="W23" s="319">
        <f t="shared" si="12"/>
        <v>187.24059302324468</v>
      </c>
      <c r="X23" s="323">
        <f t="shared" si="13"/>
        <v>281.72420401229681</v>
      </c>
      <c r="Y23" s="323">
        <f t="shared" si="14"/>
        <v>487.96063507119783</v>
      </c>
      <c r="AD23" s="308"/>
      <c r="AE23" s="308"/>
    </row>
    <row r="24" spans="1:31" ht="15.75">
      <c r="A24" s="299" t="s">
        <v>151</v>
      </c>
      <c r="B24" s="341">
        <f>RESUM!G31</f>
        <v>43.814977039280805</v>
      </c>
      <c r="C24" s="54"/>
      <c r="E24" s="314"/>
      <c r="F24" s="315"/>
      <c r="G24" s="316"/>
      <c r="H24" s="319"/>
      <c r="I24" s="318"/>
      <c r="J24" s="319"/>
      <c r="K24" s="318"/>
      <c r="L24" s="342"/>
      <c r="M24" s="318"/>
      <c r="N24" s="318"/>
      <c r="O24" s="320"/>
      <c r="P24" s="319"/>
      <c r="Q24" s="321"/>
      <c r="R24" s="320"/>
      <c r="S24" s="319"/>
      <c r="T24" s="321"/>
      <c r="U24" s="322"/>
      <c r="V24" s="319"/>
      <c r="W24" s="319"/>
      <c r="X24" s="323"/>
      <c r="Y24" s="323"/>
      <c r="Z24" s="461" t="s">
        <v>232</v>
      </c>
      <c r="AD24" s="308"/>
      <c r="AE24" s="308"/>
    </row>
    <row r="25" spans="1:31" ht="16.5" thickBot="1">
      <c r="A25" s="299" t="s">
        <v>152</v>
      </c>
      <c r="B25" s="57">
        <f>RESUM!G32</f>
        <v>101.43541686790246</v>
      </c>
      <c r="C25" s="57"/>
      <c r="E25" s="343" t="s">
        <v>208</v>
      </c>
      <c r="F25" s="328"/>
      <c r="G25" s="316"/>
      <c r="H25" s="319"/>
      <c r="I25" s="318"/>
      <c r="J25" s="319"/>
      <c r="K25" s="318"/>
      <c r="L25" s="318"/>
      <c r="M25" s="318"/>
      <c r="N25" s="318"/>
      <c r="O25" s="320"/>
      <c r="P25" s="319"/>
      <c r="Q25" s="321"/>
      <c r="R25" s="320"/>
      <c r="S25" s="319"/>
      <c r="T25" s="321"/>
      <c r="U25" s="322"/>
      <c r="V25" s="319"/>
      <c r="W25" s="319"/>
      <c r="X25" s="323"/>
      <c r="Y25" s="323"/>
      <c r="Z25" s="306">
        <v>0.89</v>
      </c>
      <c r="AD25" s="308"/>
      <c r="AE25" s="308"/>
    </row>
    <row r="26" spans="1:31">
      <c r="A26" s="299" t="s">
        <v>209</v>
      </c>
      <c r="B26" s="344">
        <f>(B8^2-B25^2)^0.5</f>
        <v>155.19925509939046</v>
      </c>
      <c r="C26" s="344"/>
      <c r="E26" s="309" t="s">
        <v>182</v>
      </c>
      <c r="F26" s="302" t="s">
        <v>183</v>
      </c>
      <c r="G26" s="302" t="s">
        <v>184</v>
      </c>
      <c r="H26" s="302" t="s">
        <v>153</v>
      </c>
      <c r="I26" s="302" t="s">
        <v>79</v>
      </c>
      <c r="J26" s="302" t="s">
        <v>185</v>
      </c>
      <c r="K26" s="302" t="s">
        <v>186</v>
      </c>
      <c r="L26" s="302" t="s">
        <v>187</v>
      </c>
      <c r="M26" s="302" t="s">
        <v>188</v>
      </c>
      <c r="N26" s="302" t="s">
        <v>189</v>
      </c>
      <c r="O26" s="310" t="s">
        <v>190</v>
      </c>
      <c r="P26" s="311" t="s">
        <v>191</v>
      </c>
      <c r="Q26" s="312" t="s">
        <v>192</v>
      </c>
      <c r="R26" s="310" t="s">
        <v>193</v>
      </c>
      <c r="S26" s="311" t="s">
        <v>194</v>
      </c>
      <c r="T26" s="312" t="s">
        <v>195</v>
      </c>
      <c r="U26" s="313" t="s">
        <v>155</v>
      </c>
      <c r="V26" s="302" t="s">
        <v>196</v>
      </c>
      <c r="W26" s="302" t="s">
        <v>197</v>
      </c>
      <c r="X26" s="302" t="s">
        <v>198</v>
      </c>
      <c r="Y26" s="302" t="s">
        <v>199</v>
      </c>
      <c r="Z26" s="461" t="s">
        <v>233</v>
      </c>
      <c r="AD26" s="308"/>
      <c r="AE26" s="308"/>
    </row>
    <row r="27" spans="1:31">
      <c r="A27" s="299" t="s">
        <v>153</v>
      </c>
      <c r="B27" s="299">
        <f>B9*120/B3-B5</f>
        <v>20</v>
      </c>
      <c r="E27" s="314">
        <f t="shared" ref="E27:E56" si="21">X27/F27</f>
        <v>4.0750336309930546</v>
      </c>
      <c r="F27" s="315">
        <f>F18</f>
        <v>68</v>
      </c>
      <c r="G27" s="316">
        <f t="shared" ref="G27:G56" si="22">H27/I27</f>
        <v>6.25E-2</v>
      </c>
      <c r="H27" s="319">
        <f>H18</f>
        <v>80</v>
      </c>
      <c r="I27" s="318">
        <f>F27*120/$B$3-H27</f>
        <v>1280</v>
      </c>
      <c r="J27" s="319">
        <f t="shared" ref="J27:J56" si="23">3*(1-G27)/G27*$B$17/1000*M27^2/1000</f>
        <v>446.90258225731827</v>
      </c>
      <c r="K27" s="318">
        <f t="shared" ref="K27:K56" si="24">J27/I27*1000*30/PI()</f>
        <v>3334.0666428180261</v>
      </c>
      <c r="L27" s="342">
        <f>L18</f>
        <v>90.1</v>
      </c>
      <c r="M27" s="318">
        <f t="shared" ref="M27:M56" si="25">U27/$B$17*1000*G27</f>
        <v>793.16358961667152</v>
      </c>
      <c r="N27" s="318">
        <f t="shared" ref="N27:N56" si="26">(L27^2+M27^2)^0.5</f>
        <v>798.26467408598489</v>
      </c>
      <c r="O27" s="320">
        <f t="shared" ref="O27:P48" si="27">$B$16*L27/1000</f>
        <v>1.187984484273068</v>
      </c>
      <c r="P27" s="302">
        <f t="shared" si="27"/>
        <v>10.458002641009289</v>
      </c>
      <c r="Q27" s="321">
        <f t="shared" ref="Q27:Q56" si="28">N27*$B$16/1000</f>
        <v>10.525261344699752</v>
      </c>
      <c r="R27" s="320">
        <f t="shared" ref="R27:R56" si="29">2*PI()*F27*$B$19*L27/1000</f>
        <v>17.90863011970675</v>
      </c>
      <c r="S27" s="319">
        <f t="shared" ref="S27:S56" si="30">2*PI()*F27*$B$19*M27/1000</f>
        <v>157.65231244022033</v>
      </c>
      <c r="T27" s="321">
        <f>2*PI()*F27*$B$19*N27/1000</f>
        <v>158.66622403811505</v>
      </c>
      <c r="U27" s="322">
        <f>$B$21*2*PI()*F27*L27/1000</f>
        <v>200.33533812426691</v>
      </c>
      <c r="V27" s="319">
        <f t="shared" ref="V27:V56" si="31">O27-S27</f>
        <v>-156.46432795594725</v>
      </c>
      <c r="W27" s="319">
        <f t="shared" ref="W27:W56" si="32">P27+R27+U27</f>
        <v>228.70197088498296</v>
      </c>
      <c r="X27" s="323">
        <f t="shared" ref="X27:X56" si="33">(W27^2+V27^2)^0.5</f>
        <v>277.10228690752774</v>
      </c>
      <c r="Y27" s="323">
        <f t="shared" ref="Y27:Y56" si="34">X27*3^0.5</f>
        <v>479.95523981736613</v>
      </c>
      <c r="Z27" s="462">
        <f>J27</f>
        <v>446.90258225731827</v>
      </c>
      <c r="AD27" s="308"/>
      <c r="AE27" s="308"/>
    </row>
    <row r="28" spans="1:31">
      <c r="A28" s="299" t="s">
        <v>210</v>
      </c>
      <c r="B28" s="299">
        <f>B27/120*B3</f>
        <v>1</v>
      </c>
      <c r="E28" s="314">
        <f t="shared" si="21"/>
        <v>3.6234520163284012</v>
      </c>
      <c r="F28" s="315">
        <f>F27+($F$49-$F$27)/22</f>
        <v>76.195454545454538</v>
      </c>
      <c r="G28" s="316">
        <f t="shared" si="22"/>
        <v>5.5687632842635608E-2</v>
      </c>
      <c r="H28" s="315">
        <f>H27+($H$49-$H$27)/22</f>
        <v>80.38636363636364</v>
      </c>
      <c r="I28" s="318">
        <f t="shared" ref="I28:I56" si="35">F28*120/$B$3-H28</f>
        <v>1443.522727272727</v>
      </c>
      <c r="J28" s="319">
        <f t="shared" si="23"/>
        <v>401.08461661309786</v>
      </c>
      <c r="K28" s="318">
        <f t="shared" si="24"/>
        <v>2653.2841413323395</v>
      </c>
      <c r="L28" s="342">
        <f t="shared" ref="L28:L56" si="36">L27*F27/F28</f>
        <v>80.408996003102075</v>
      </c>
      <c r="M28" s="318">
        <f t="shared" si="25"/>
        <v>706.71044420352177</v>
      </c>
      <c r="N28" s="318">
        <f t="shared" si="26"/>
        <v>711.27017270834995</v>
      </c>
      <c r="O28" s="320">
        <f t="shared" si="27"/>
        <v>1.0602068773325242</v>
      </c>
      <c r="P28" s="319">
        <f t="shared" si="27"/>
        <v>9.3181025814374223</v>
      </c>
      <c r="Q28" s="321">
        <f t="shared" si="28"/>
        <v>9.3782234106963944</v>
      </c>
      <c r="R28" s="320">
        <f t="shared" si="29"/>
        <v>17.90863011970675</v>
      </c>
      <c r="S28" s="319">
        <f t="shared" si="30"/>
        <v>157.3980098754904</v>
      </c>
      <c r="T28" s="321">
        <f t="shared" ref="T28:T56" si="37">2*PI()*F28*$B$19*N28/1000</f>
        <v>158.41354912231921</v>
      </c>
      <c r="U28" s="322">
        <f t="shared" ref="U28:U56" si="38">$B$21*2*PI()*F28*L28/1000</f>
        <v>200.33533812426691</v>
      </c>
      <c r="V28" s="319">
        <f t="shared" si="31"/>
        <v>-156.33780299815788</v>
      </c>
      <c r="W28" s="319">
        <f t="shared" si="32"/>
        <v>227.56207082541107</v>
      </c>
      <c r="X28" s="323">
        <f t="shared" si="33"/>
        <v>276.09057340778628</v>
      </c>
      <c r="Y28" s="323">
        <f t="shared" si="34"/>
        <v>478.20290063311057</v>
      </c>
      <c r="Z28" s="462">
        <f>Z27*(I27/I28)^Z$25</f>
        <v>401.55284754011728</v>
      </c>
      <c r="AD28" s="308"/>
      <c r="AE28" s="308"/>
    </row>
    <row r="29" spans="1:31">
      <c r="E29" s="314">
        <f t="shared" si="21"/>
        <v>3.263019380978041</v>
      </c>
      <c r="F29" s="315">
        <f t="shared" ref="F29:F48" si="39">F28+($F$49-$F$27)/22</f>
        <v>84.390909090909076</v>
      </c>
      <c r="G29" s="316">
        <f t="shared" si="22"/>
        <v>5.0261632018102124E-2</v>
      </c>
      <c r="H29" s="315">
        <f t="shared" ref="H29:H48" si="40">H28+($H$49-$H$27)/22</f>
        <v>80.77272727272728</v>
      </c>
      <c r="I29" s="318">
        <f t="shared" si="35"/>
        <v>1607.045454545454</v>
      </c>
      <c r="J29" s="319">
        <f t="shared" si="23"/>
        <v>364.08445761187943</v>
      </c>
      <c r="K29" s="318">
        <f t="shared" si="24"/>
        <v>2163.4425199846755</v>
      </c>
      <c r="L29" s="342">
        <f t="shared" si="36"/>
        <v>72.600236992351626</v>
      </c>
      <c r="M29" s="318">
        <f t="shared" si="25"/>
        <v>637.85114354352186</v>
      </c>
      <c r="N29" s="318">
        <f t="shared" si="26"/>
        <v>641.96952866247796</v>
      </c>
      <c r="O29" s="320">
        <f t="shared" si="27"/>
        <v>0.95724700445573108</v>
      </c>
      <c r="P29" s="319">
        <f t="shared" si="27"/>
        <v>8.4101804861879863</v>
      </c>
      <c r="Q29" s="321">
        <f t="shared" si="28"/>
        <v>8.4644821246073079</v>
      </c>
      <c r="R29" s="320">
        <f t="shared" si="29"/>
        <v>17.908630119706753</v>
      </c>
      <c r="S29" s="319">
        <f t="shared" si="30"/>
        <v>157.34163791168228</v>
      </c>
      <c r="T29" s="321">
        <f t="shared" si="37"/>
        <v>158.35753866960488</v>
      </c>
      <c r="U29" s="322">
        <f t="shared" si="38"/>
        <v>200.33533812426694</v>
      </c>
      <c r="V29" s="319">
        <f t="shared" si="31"/>
        <v>-156.38439090722656</v>
      </c>
      <c r="W29" s="319">
        <f t="shared" si="32"/>
        <v>226.65414873016169</v>
      </c>
      <c r="X29" s="323">
        <f t="shared" si="33"/>
        <v>275.36917194199225</v>
      </c>
      <c r="Y29" s="323">
        <f t="shared" si="34"/>
        <v>476.95339664170069</v>
      </c>
      <c r="Z29" s="462">
        <f t="shared" ref="Z29:Z56" si="41">Z28*(I28/I29)^Z$25</f>
        <v>364.97630826956413</v>
      </c>
      <c r="AD29" s="308"/>
      <c r="AE29" s="308"/>
    </row>
    <row r="30" spans="1:31">
      <c r="E30" s="314">
        <f t="shared" si="21"/>
        <v>2.9686644518214349</v>
      </c>
      <c r="F30" s="315">
        <f t="shared" si="39"/>
        <v>92.586363636363615</v>
      </c>
      <c r="G30" s="316">
        <f t="shared" si="22"/>
        <v>4.5837879468583552E-2</v>
      </c>
      <c r="H30" s="315">
        <f t="shared" si="40"/>
        <v>81.159090909090921</v>
      </c>
      <c r="I30" s="318">
        <f t="shared" si="35"/>
        <v>1770.5681818181813</v>
      </c>
      <c r="J30" s="319">
        <f t="shared" si="23"/>
        <v>333.58634122961092</v>
      </c>
      <c r="K30" s="318">
        <f t="shared" si="24"/>
        <v>1799.1483987963461</v>
      </c>
      <c r="L30" s="342">
        <f t="shared" si="36"/>
        <v>66.173891698168802</v>
      </c>
      <c r="M30" s="318">
        <f t="shared" si="25"/>
        <v>581.71099231548897</v>
      </c>
      <c r="N30" s="318">
        <f t="shared" si="26"/>
        <v>585.46277637707408</v>
      </c>
      <c r="O30" s="320">
        <f t="shared" si="27"/>
        <v>0.87251450168025446</v>
      </c>
      <c r="P30" s="319">
        <f t="shared" si="27"/>
        <v>7.669962632651397</v>
      </c>
      <c r="Q30" s="321">
        <f t="shared" si="28"/>
        <v>7.7194305710920865</v>
      </c>
      <c r="R30" s="320">
        <f t="shared" si="29"/>
        <v>17.90863011970675</v>
      </c>
      <c r="S30" s="319">
        <f t="shared" si="30"/>
        <v>157.42835626869973</v>
      </c>
      <c r="T30" s="321">
        <f t="shared" si="37"/>
        <v>158.4437010115237</v>
      </c>
      <c r="U30" s="322">
        <f t="shared" si="38"/>
        <v>200.33533812426691</v>
      </c>
      <c r="V30" s="319">
        <f t="shared" si="31"/>
        <v>-156.55584176701947</v>
      </c>
      <c r="W30" s="319">
        <f t="shared" si="32"/>
        <v>225.91393087662505</v>
      </c>
      <c r="X30" s="323">
        <f t="shared" si="33"/>
        <v>274.85784645068543</v>
      </c>
      <c r="Y30" s="323">
        <f t="shared" si="34"/>
        <v>476.06775491155213</v>
      </c>
      <c r="Z30" s="462">
        <f t="shared" si="41"/>
        <v>334.81852106661427</v>
      </c>
      <c r="AD30" s="308"/>
      <c r="AE30" s="308"/>
    </row>
    <row r="31" spans="1:31">
      <c r="E31" s="314">
        <f t="shared" si="21"/>
        <v>2.7237407203588559</v>
      </c>
      <c r="F31" s="315">
        <f t="shared" si="39"/>
        <v>100.78181818181815</v>
      </c>
      <c r="G31" s="316">
        <f t="shared" si="22"/>
        <v>4.2162162162162183E-2</v>
      </c>
      <c r="H31" s="315">
        <f t="shared" si="40"/>
        <v>81.545454545454561</v>
      </c>
      <c r="I31" s="318">
        <f t="shared" si="35"/>
        <v>1934.0909090909086</v>
      </c>
      <c r="J31" s="319">
        <f t="shared" si="23"/>
        <v>308.01823912685745</v>
      </c>
      <c r="K31" s="318">
        <f t="shared" si="24"/>
        <v>1520.7958971031981</v>
      </c>
      <c r="L31" s="342">
        <f t="shared" si="36"/>
        <v>60.792711528053417</v>
      </c>
      <c r="M31" s="318">
        <f t="shared" si="25"/>
        <v>535.06387018465216</v>
      </c>
      <c r="N31" s="318">
        <f t="shared" si="26"/>
        <v>538.50635924927701</v>
      </c>
      <c r="O31" s="320">
        <f t="shared" si="27"/>
        <v>0.8015626864840838</v>
      </c>
      <c r="P31" s="319">
        <f t="shared" si="27"/>
        <v>7.0549120518808639</v>
      </c>
      <c r="Q31" s="321">
        <f t="shared" si="28"/>
        <v>7.10030188091587</v>
      </c>
      <c r="R31" s="320">
        <f t="shared" si="29"/>
        <v>17.90863011970675</v>
      </c>
      <c r="S31" s="319">
        <f t="shared" si="30"/>
        <v>157.62187112074929</v>
      </c>
      <c r="T31" s="321">
        <f t="shared" si="37"/>
        <v>158.63597728248962</v>
      </c>
      <c r="U31" s="322">
        <f t="shared" si="38"/>
        <v>200.33533812426691</v>
      </c>
      <c r="V31" s="319">
        <f t="shared" si="31"/>
        <v>-156.8203084342652</v>
      </c>
      <c r="W31" s="319">
        <f t="shared" si="32"/>
        <v>225.29888029585453</v>
      </c>
      <c r="X31" s="323">
        <f t="shared" si="33"/>
        <v>274.50354205362061</v>
      </c>
      <c r="Y31" s="323">
        <f t="shared" si="34"/>
        <v>475.45408169449081</v>
      </c>
      <c r="Z31" s="462">
        <f t="shared" si="41"/>
        <v>309.50331904424348</v>
      </c>
      <c r="AD31" s="308"/>
      <c r="AE31" s="308"/>
    </row>
    <row r="32" spans="1:31">
      <c r="E32" s="314">
        <f t="shared" si="21"/>
        <v>2.5167612172262115</v>
      </c>
      <c r="F32" s="315">
        <f t="shared" si="39"/>
        <v>108.97727272727269</v>
      </c>
      <c r="G32" s="316">
        <f t="shared" si="22"/>
        <v>3.9059537353052738E-2</v>
      </c>
      <c r="H32" s="315">
        <f t="shared" si="40"/>
        <v>81.931818181818201</v>
      </c>
      <c r="I32" s="318">
        <f t="shared" si="35"/>
        <v>2097.6136363636356</v>
      </c>
      <c r="J32" s="319">
        <f t="shared" si="23"/>
        <v>286.27613552906445</v>
      </c>
      <c r="K32" s="318">
        <f t="shared" si="24"/>
        <v>1303.2598931140085</v>
      </c>
      <c r="L32" s="342">
        <f t="shared" si="36"/>
        <v>56.22089676746613</v>
      </c>
      <c r="M32" s="318">
        <f t="shared" si="25"/>
        <v>495.68964569142037</v>
      </c>
      <c r="N32" s="318">
        <f t="shared" si="26"/>
        <v>498.86773204830951</v>
      </c>
      <c r="O32" s="320">
        <f t="shared" si="27"/>
        <v>0.7412824977987531</v>
      </c>
      <c r="P32" s="319">
        <f t="shared" si="27"/>
        <v>6.5357559167172239</v>
      </c>
      <c r="Q32" s="321">
        <f t="shared" si="28"/>
        <v>6.5776595491441308</v>
      </c>
      <c r="R32" s="320">
        <f t="shared" si="29"/>
        <v>17.908630119706753</v>
      </c>
      <c r="S32" s="319">
        <f t="shared" si="30"/>
        <v>157.89720600816077</v>
      </c>
      <c r="T32" s="321">
        <f t="shared" si="37"/>
        <v>158.90955508699921</v>
      </c>
      <c r="U32" s="322">
        <f t="shared" si="38"/>
        <v>200.33533812426691</v>
      </c>
      <c r="V32" s="319">
        <f t="shared" si="31"/>
        <v>-157.15592351036202</v>
      </c>
      <c r="W32" s="319">
        <f t="shared" si="32"/>
        <v>224.77972416069088</v>
      </c>
      <c r="X32" s="323">
        <f t="shared" si="33"/>
        <v>274.26977355908366</v>
      </c>
      <c r="Y32" s="323">
        <f t="shared" si="34"/>
        <v>475.04918278474395</v>
      </c>
      <c r="Z32" s="462">
        <f t="shared" si="41"/>
        <v>287.93472505650101</v>
      </c>
      <c r="AD32" s="308"/>
      <c r="AE32" s="308"/>
    </row>
    <row r="33" spans="5:31">
      <c r="E33" s="314">
        <f t="shared" si="21"/>
        <v>2.3395429239588541</v>
      </c>
      <c r="F33" s="315">
        <f t="shared" si="39"/>
        <v>117.17272727272723</v>
      </c>
      <c r="G33" s="316">
        <f t="shared" si="22"/>
        <v>3.6405668911448412E-2</v>
      </c>
      <c r="H33" s="315">
        <f t="shared" si="40"/>
        <v>82.318181818181841</v>
      </c>
      <c r="I33" s="318">
        <f t="shared" si="35"/>
        <v>2261.1363636363626</v>
      </c>
      <c r="J33" s="319">
        <f t="shared" si="23"/>
        <v>267.56223915241634</v>
      </c>
      <c r="K33" s="318">
        <f t="shared" si="24"/>
        <v>1129.9765984222067</v>
      </c>
      <c r="L33" s="342">
        <f t="shared" si="36"/>
        <v>52.288618201567246</v>
      </c>
      <c r="M33" s="318">
        <f t="shared" si="25"/>
        <v>462.01041657920774</v>
      </c>
      <c r="N33" s="318">
        <f t="shared" si="26"/>
        <v>464.95991721988503</v>
      </c>
      <c r="O33" s="320">
        <f t="shared" si="27"/>
        <v>0.68943470729789369</v>
      </c>
      <c r="P33" s="319">
        <f t="shared" si="27"/>
        <v>6.0916893059781962</v>
      </c>
      <c r="Q33" s="321">
        <f t="shared" si="28"/>
        <v>6.1305789951843908</v>
      </c>
      <c r="R33" s="320">
        <f t="shared" si="29"/>
        <v>17.90863011970675</v>
      </c>
      <c r="S33" s="319">
        <f t="shared" si="30"/>
        <v>158.23660954422903</v>
      </c>
      <c r="T33" s="321">
        <f t="shared" si="37"/>
        <v>159.24680101282178</v>
      </c>
      <c r="U33" s="322">
        <f t="shared" si="38"/>
        <v>200.33533812426691</v>
      </c>
      <c r="V33" s="319">
        <f t="shared" si="31"/>
        <v>-157.54717483693113</v>
      </c>
      <c r="W33" s="319">
        <f t="shared" si="32"/>
        <v>224.33565754995186</v>
      </c>
      <c r="X33" s="323">
        <f t="shared" si="33"/>
        <v>274.13062497186962</v>
      </c>
      <c r="Y33" s="323">
        <f t="shared" si="34"/>
        <v>474.80817036188779</v>
      </c>
      <c r="Z33" s="462">
        <f t="shared" si="41"/>
        <v>269.32639975792227</v>
      </c>
      <c r="AD33" s="308"/>
      <c r="AE33" s="308"/>
    </row>
    <row r="34" spans="5:31">
      <c r="E34" s="314">
        <f t="shared" si="21"/>
        <v>2.1860983897154433</v>
      </c>
      <c r="F34" s="315">
        <f t="shared" si="39"/>
        <v>125.36818181818177</v>
      </c>
      <c r="G34" s="316">
        <f t="shared" si="22"/>
        <v>3.4109762384590174E-2</v>
      </c>
      <c r="H34" s="315">
        <f t="shared" si="40"/>
        <v>82.704545454545482</v>
      </c>
      <c r="I34" s="318">
        <f t="shared" si="35"/>
        <v>2424.6590909090901</v>
      </c>
      <c r="J34" s="319">
        <f>3*(1-G34)/G34*$B$17/1000*M34^2/1000</f>
        <v>251.28585404162749</v>
      </c>
      <c r="K34" s="318">
        <f>J34/I34*1000*30/PI()</f>
        <v>989.66619966682276</v>
      </c>
      <c r="L34" s="342">
        <f>L33*F33/F34</f>
        <v>48.870454298248816</v>
      </c>
      <c r="M34" s="318">
        <f>U34/$B$17*1000*G34</f>
        <v>432.87394518293218</v>
      </c>
      <c r="N34" s="318">
        <f>(L34^2+M34^2)^0.5</f>
        <v>435.62389020983846</v>
      </c>
      <c r="O34" s="320">
        <f>$B$16*L34/1000</f>
        <v>0.64436560983014057</v>
      </c>
      <c r="P34" s="319">
        <f>$B$16*M34/1000</f>
        <v>5.7075197616358935</v>
      </c>
      <c r="Q34" s="321">
        <f>N34*$B$16/1000</f>
        <v>5.7437782746721711</v>
      </c>
      <c r="R34" s="320">
        <f>2*PI()*F34*$B$19*L34/1000</f>
        <v>17.908630119706753</v>
      </c>
      <c r="S34" s="319">
        <f>2*PI()*F34*$B$19*M34/1000</f>
        <v>158.62711906521267</v>
      </c>
      <c r="T34" s="321">
        <f t="shared" si="37"/>
        <v>159.63483935436409</v>
      </c>
      <c r="U34" s="322">
        <f>$B$21*2*PI()*F34*L34/1000</f>
        <v>200.33533812426691</v>
      </c>
      <c r="V34" s="319">
        <f>O34-S34</f>
        <v>-157.98275345538252</v>
      </c>
      <c r="W34" s="319">
        <f>P34+R34+U34</f>
        <v>223.95148800560955</v>
      </c>
      <c r="X34" s="323">
        <f>(W34^2+V34^2)^0.5</f>
        <v>274.06718039428006</v>
      </c>
      <c r="Y34" s="323">
        <f>X34*3^0.5</f>
        <v>474.69828113003791</v>
      </c>
      <c r="Z34" s="462">
        <f t="shared" si="41"/>
        <v>253.09911544868635</v>
      </c>
      <c r="AD34" s="308"/>
      <c r="AE34" s="308"/>
    </row>
    <row r="35" spans="5:31">
      <c r="E35" s="314">
        <f t="shared" si="21"/>
        <v>2.0519455529534176</v>
      </c>
      <c r="F35" s="315">
        <f t="shared" si="39"/>
        <v>133.56363636363631</v>
      </c>
      <c r="G35" s="316">
        <f t="shared" si="22"/>
        <v>3.2103969090270489E-2</v>
      </c>
      <c r="H35" s="315">
        <f t="shared" si="40"/>
        <v>83.090909090909122</v>
      </c>
      <c r="I35" s="318">
        <f t="shared" si="35"/>
        <v>2588.1818181818171</v>
      </c>
      <c r="J35" s="319">
        <f t="shared" si="23"/>
        <v>237.00036117468707</v>
      </c>
      <c r="K35" s="318">
        <f t="shared" si="24"/>
        <v>874.43112529120299</v>
      </c>
      <c r="L35" s="342">
        <f t="shared" si="36"/>
        <v>45.871766947998935</v>
      </c>
      <c r="M35" s="318">
        <f t="shared" si="25"/>
        <v>407.41918983330578</v>
      </c>
      <c r="N35" s="318">
        <f t="shared" si="26"/>
        <v>409.99343317589705</v>
      </c>
      <c r="O35" s="320">
        <f t="shared" si="27"/>
        <v>0.60482738513221856</v>
      </c>
      <c r="P35" s="319">
        <f t="shared" si="27"/>
        <v>5.3718942965268708</v>
      </c>
      <c r="Q35" s="321">
        <f t="shared" si="28"/>
        <v>5.4058361516849356</v>
      </c>
      <c r="R35" s="320">
        <f t="shared" si="29"/>
        <v>17.908630119706753</v>
      </c>
      <c r="S35" s="319">
        <f t="shared" si="30"/>
        <v>159.059047859798</v>
      </c>
      <c r="T35" s="321">
        <f t="shared" si="37"/>
        <v>160.06404886429053</v>
      </c>
      <c r="U35" s="322">
        <f t="shared" si="38"/>
        <v>200.33533812426694</v>
      </c>
      <c r="V35" s="319">
        <f t="shared" si="31"/>
        <v>-158.45422047466579</v>
      </c>
      <c r="W35" s="319">
        <f t="shared" si="32"/>
        <v>223.61586254050056</v>
      </c>
      <c r="X35" s="323">
        <f t="shared" si="33"/>
        <v>274.06530967265087</v>
      </c>
      <c r="Y35" s="323">
        <f t="shared" si="34"/>
        <v>474.69504094512934</v>
      </c>
      <c r="Z35" s="462">
        <f t="shared" si="41"/>
        <v>238.81652853142768</v>
      </c>
      <c r="AD35" s="308"/>
      <c r="AE35" s="308"/>
    </row>
    <row r="36" spans="5:31">
      <c r="E36" s="314">
        <f t="shared" si="21"/>
        <v>1.9336625454544289</v>
      </c>
      <c r="F36" s="315">
        <f t="shared" si="39"/>
        <v>141.75909090909084</v>
      </c>
      <c r="G36" s="316">
        <f t="shared" si="22"/>
        <v>3.0336568242824727E-2</v>
      </c>
      <c r="H36" s="315">
        <f t="shared" si="40"/>
        <v>83.477272727272762</v>
      </c>
      <c r="I36" s="318">
        <f t="shared" si="35"/>
        <v>2751.7045454545437</v>
      </c>
      <c r="J36" s="319">
        <f t="shared" si="23"/>
        <v>224.36186356378633</v>
      </c>
      <c r="K36" s="318">
        <f t="shared" si="24"/>
        <v>778.60756569533839</v>
      </c>
      <c r="L36" s="342">
        <f t="shared" si="36"/>
        <v>43.219803123096185</v>
      </c>
      <c r="M36" s="318">
        <f t="shared" si="25"/>
        <v>384.98978182607971</v>
      </c>
      <c r="N36" s="318">
        <f t="shared" si="26"/>
        <v>387.40816136536364</v>
      </c>
      <c r="O36" s="320">
        <f t="shared" si="27"/>
        <v>0.56986077162680315</v>
      </c>
      <c r="P36" s="319">
        <f t="shared" si="27"/>
        <v>5.0761585728419121</v>
      </c>
      <c r="Q36" s="321">
        <f t="shared" si="28"/>
        <v>5.1080453361022098</v>
      </c>
      <c r="R36" s="320">
        <f t="shared" si="29"/>
        <v>17.90863011970675</v>
      </c>
      <c r="S36" s="319">
        <f t="shared" si="30"/>
        <v>159.52501178575346</v>
      </c>
      <c r="T36" s="321">
        <f t="shared" si="37"/>
        <v>160.52709558828144</v>
      </c>
      <c r="U36" s="322">
        <f t="shared" si="38"/>
        <v>200.33533812426691</v>
      </c>
      <c r="V36" s="319">
        <f t="shared" si="31"/>
        <v>-158.95515101412667</v>
      </c>
      <c r="W36" s="319">
        <f t="shared" si="32"/>
        <v>223.32012681681556</v>
      </c>
      <c r="X36" s="323">
        <f t="shared" si="33"/>
        <v>274.11424456857839</v>
      </c>
      <c r="Y36" s="323">
        <f t="shared" si="34"/>
        <v>474.77979867113891</v>
      </c>
      <c r="Z36" s="462">
        <f t="shared" si="41"/>
        <v>226.1435127818184</v>
      </c>
      <c r="AD36" s="308"/>
      <c r="AE36" s="308"/>
    </row>
    <row r="37" spans="5:31">
      <c r="E37" s="314">
        <f t="shared" si="21"/>
        <v>1.8285916833627238</v>
      </c>
      <c r="F37" s="315">
        <f t="shared" si="39"/>
        <v>149.95454545454538</v>
      </c>
      <c r="G37" s="316">
        <f t="shared" si="22"/>
        <v>2.8767443673501238E-2</v>
      </c>
      <c r="H37" s="315">
        <f t="shared" si="40"/>
        <v>83.863636363636402</v>
      </c>
      <c r="I37" s="318">
        <f t="shared" si="35"/>
        <v>2915.2272727272712</v>
      </c>
      <c r="J37" s="319">
        <f t="shared" si="23"/>
        <v>213.10128746993013</v>
      </c>
      <c r="K37" s="318">
        <f t="shared" si="24"/>
        <v>698.04759849869833</v>
      </c>
      <c r="L37" s="342">
        <f t="shared" si="36"/>
        <v>40.857714458926971</v>
      </c>
      <c r="M37" s="318">
        <f t="shared" si="25"/>
        <v>365.07662221071439</v>
      </c>
      <c r="N37" s="318">
        <f t="shared" si="26"/>
        <v>367.35581241569037</v>
      </c>
      <c r="O37" s="320">
        <f t="shared" si="27"/>
        <v>0.5387162135412279</v>
      </c>
      <c r="P37" s="319">
        <f t="shared" si="27"/>
        <v>4.8136000306009912</v>
      </c>
      <c r="Q37" s="321">
        <f t="shared" si="28"/>
        <v>4.8436515577954262</v>
      </c>
      <c r="R37" s="320">
        <f t="shared" si="29"/>
        <v>17.908630119706753</v>
      </c>
      <c r="S37" s="319">
        <f t="shared" si="30"/>
        <v>160.01928348429965</v>
      </c>
      <c r="T37" s="321">
        <f t="shared" si="37"/>
        <v>161.01829125783544</v>
      </c>
      <c r="U37" s="322">
        <f t="shared" si="38"/>
        <v>200.33533812426691</v>
      </c>
      <c r="V37" s="319">
        <f t="shared" si="31"/>
        <v>-159.48056727075843</v>
      </c>
      <c r="W37" s="319">
        <f t="shared" si="32"/>
        <v>223.05756827457466</v>
      </c>
      <c r="X37" s="323">
        <f t="shared" si="33"/>
        <v>274.20563470061921</v>
      </c>
      <c r="Y37" s="323">
        <f t="shared" si="34"/>
        <v>474.93809102314407</v>
      </c>
      <c r="Z37" s="462">
        <f t="shared" si="41"/>
        <v>214.81830465719983</v>
      </c>
      <c r="AD37" s="306"/>
      <c r="AE37" s="306"/>
    </row>
    <row r="38" spans="5:31">
      <c r="E38" s="314">
        <f t="shared" si="21"/>
        <v>1.7346373992023456</v>
      </c>
      <c r="F38" s="315">
        <f t="shared" si="39"/>
        <v>158.14999999999992</v>
      </c>
      <c r="G38" s="316">
        <f t="shared" si="22"/>
        <v>2.7365002030044692E-2</v>
      </c>
      <c r="H38" s="315">
        <f t="shared" si="40"/>
        <v>84.250000000000043</v>
      </c>
      <c r="I38" s="318">
        <f t="shared" si="35"/>
        <v>3078.7499999999982</v>
      </c>
      <c r="J38" s="319">
        <f t="shared" si="23"/>
        <v>203.00509952157887</v>
      </c>
      <c r="K38" s="318">
        <f t="shared" si="24"/>
        <v>629.65680997264712</v>
      </c>
      <c r="L38" s="342">
        <f t="shared" si="36"/>
        <v>38.740436294656995</v>
      </c>
      <c r="M38" s="318">
        <f t="shared" si="25"/>
        <v>347.27877184028404</v>
      </c>
      <c r="N38" s="318">
        <f t="shared" si="26"/>
        <v>349.4329217105859</v>
      </c>
      <c r="O38" s="320">
        <f t="shared" si="27"/>
        <v>0.51079952532765527</v>
      </c>
      <c r="P38" s="319">
        <f t="shared" si="27"/>
        <v>4.5789322160229116</v>
      </c>
      <c r="Q38" s="321">
        <f t="shared" si="28"/>
        <v>4.6073350642217736</v>
      </c>
      <c r="R38" s="320">
        <f t="shared" si="29"/>
        <v>17.908630119706753</v>
      </c>
      <c r="S38" s="319">
        <f t="shared" si="30"/>
        <v>160.53735239351016</v>
      </c>
      <c r="T38" s="321">
        <f t="shared" si="37"/>
        <v>161.53315618250804</v>
      </c>
      <c r="U38" s="322">
        <f t="shared" si="38"/>
        <v>200.33533812426694</v>
      </c>
      <c r="V38" s="319">
        <f t="shared" si="31"/>
        <v>-160.02655286818251</v>
      </c>
      <c r="W38" s="319">
        <f t="shared" si="32"/>
        <v>222.82290045999662</v>
      </c>
      <c r="X38" s="323">
        <f t="shared" si="33"/>
        <v>274.33290468385081</v>
      </c>
      <c r="Y38" s="323">
        <f t="shared" si="34"/>
        <v>475.15852910037961</v>
      </c>
      <c r="Z38" s="462">
        <f t="shared" si="41"/>
        <v>204.63339001028109</v>
      </c>
      <c r="AD38" s="306"/>
      <c r="AE38" s="306"/>
    </row>
    <row r="39" spans="5:31">
      <c r="E39" s="314">
        <f t="shared" si="21"/>
        <v>1.6501250771687128</v>
      </c>
      <c r="F39" s="315">
        <f t="shared" si="39"/>
        <v>166.34545454545446</v>
      </c>
      <c r="G39" s="316">
        <f t="shared" si="22"/>
        <v>2.6104023552502478E-2</v>
      </c>
      <c r="H39" s="315">
        <f t="shared" si="40"/>
        <v>84.636363636363683</v>
      </c>
      <c r="I39" s="318">
        <f t="shared" si="35"/>
        <v>3242.2727272727261</v>
      </c>
      <c r="J39" s="319">
        <f t="shared" si="23"/>
        <v>193.90169011072751</v>
      </c>
      <c r="K39" s="318">
        <f t="shared" si="24"/>
        <v>571.08852433188883</v>
      </c>
      <c r="L39" s="342">
        <f t="shared" si="36"/>
        <v>36.831784894524013</v>
      </c>
      <c r="M39" s="318">
        <f t="shared" si="25"/>
        <v>331.27617638945605</v>
      </c>
      <c r="N39" s="318">
        <f t="shared" si="26"/>
        <v>333.31739441819485</v>
      </c>
      <c r="O39" s="320">
        <f t="shared" si="27"/>
        <v>0.4856336180108512</v>
      </c>
      <c r="P39" s="319">
        <f t="shared" si="27"/>
        <v>4.3679351560486337</v>
      </c>
      <c r="Q39" s="321">
        <f t="shared" si="28"/>
        <v>4.3948489778817104</v>
      </c>
      <c r="R39" s="320">
        <f t="shared" si="29"/>
        <v>17.90863011970675</v>
      </c>
      <c r="S39" s="319">
        <f t="shared" si="30"/>
        <v>161.07561790499997</v>
      </c>
      <c r="T39" s="321">
        <f t="shared" si="37"/>
        <v>162.06811443415393</v>
      </c>
      <c r="U39" s="322">
        <f t="shared" si="38"/>
        <v>200.33533812426691</v>
      </c>
      <c r="V39" s="319">
        <f t="shared" si="31"/>
        <v>-160.58998428698914</v>
      </c>
      <c r="W39" s="319">
        <f t="shared" si="32"/>
        <v>222.6119034000223</v>
      </c>
      <c r="X39" s="323">
        <f t="shared" si="33"/>
        <v>274.49080601848266</v>
      </c>
      <c r="Y39" s="323">
        <f t="shared" si="34"/>
        <v>475.43202223454489</v>
      </c>
      <c r="Z39" s="462">
        <f t="shared" si="41"/>
        <v>195.42208547690774</v>
      </c>
      <c r="AD39" s="306"/>
      <c r="AE39" s="306"/>
    </row>
    <row r="40" spans="5:31">
      <c r="E40" s="314">
        <f t="shared" si="21"/>
        <v>1.57370039859078</v>
      </c>
      <c r="F40" s="315">
        <f t="shared" si="39"/>
        <v>174.540909090909</v>
      </c>
      <c r="G40" s="316">
        <f t="shared" si="22"/>
        <v>2.4964131994261146E-2</v>
      </c>
      <c r="H40" s="315">
        <f t="shared" si="40"/>
        <v>85.022727272727323</v>
      </c>
      <c r="I40" s="318">
        <f t="shared" si="35"/>
        <v>3405.7954545454527</v>
      </c>
      <c r="J40" s="319">
        <f t="shared" si="23"/>
        <v>185.65157270886269</v>
      </c>
      <c r="K40" s="318">
        <f t="shared" si="24"/>
        <v>520.53681820436964</v>
      </c>
      <c r="L40" s="342">
        <f t="shared" si="36"/>
        <v>35.102372457616106</v>
      </c>
      <c r="M40" s="318">
        <f t="shared" si="25"/>
        <v>316.81024870772114</v>
      </c>
      <c r="N40" s="318">
        <f t="shared" si="26"/>
        <v>318.74897684290897</v>
      </c>
      <c r="O40" s="320">
        <f t="shared" si="27"/>
        <v>0.46283100822222223</v>
      </c>
      <c r="P40" s="319">
        <f t="shared" si="27"/>
        <v>4.1771993332238013</v>
      </c>
      <c r="Q40" s="321">
        <f t="shared" si="28"/>
        <v>4.2027618076280948</v>
      </c>
      <c r="R40" s="320">
        <f t="shared" si="29"/>
        <v>17.908630119706753</v>
      </c>
      <c r="S40" s="319">
        <f t="shared" si="30"/>
        <v>161.63117091556822</v>
      </c>
      <c r="T40" s="321">
        <f t="shared" si="37"/>
        <v>162.62027685470864</v>
      </c>
      <c r="U40" s="322">
        <f t="shared" si="38"/>
        <v>200.33533812426694</v>
      </c>
      <c r="V40" s="319">
        <f t="shared" si="31"/>
        <v>-161.168339907346</v>
      </c>
      <c r="W40" s="319">
        <f t="shared" si="32"/>
        <v>222.42116757719748</v>
      </c>
      <c r="X40" s="323">
        <f t="shared" si="33"/>
        <v>274.67509820676059</v>
      </c>
      <c r="Y40" s="323">
        <f t="shared" si="34"/>
        <v>475.75122566808034</v>
      </c>
      <c r="Z40" s="462">
        <f t="shared" si="41"/>
        <v>187.04892530977116</v>
      </c>
    </row>
    <row r="41" spans="5:31">
      <c r="E41" s="314">
        <f t="shared" si="21"/>
        <v>1.5042562528020504</v>
      </c>
      <c r="F41" s="315">
        <f t="shared" si="39"/>
        <v>182.73636363636354</v>
      </c>
      <c r="G41" s="316">
        <f t="shared" si="22"/>
        <v>2.3928685132123557E-2</v>
      </c>
      <c r="H41" s="315">
        <f t="shared" si="40"/>
        <v>85.409090909090963</v>
      </c>
      <c r="I41" s="318">
        <f t="shared" si="35"/>
        <v>3569.3181818181797</v>
      </c>
      <c r="J41" s="319">
        <f t="shared" si="23"/>
        <v>178.14020801978819</v>
      </c>
      <c r="K41" s="318">
        <f t="shared" si="24"/>
        <v>476.59345385665074</v>
      </c>
      <c r="L41" s="342">
        <f t="shared" si="36"/>
        <v>33.528083179941319</v>
      </c>
      <c r="M41" s="318">
        <f t="shared" si="25"/>
        <v>303.66978870723523</v>
      </c>
      <c r="N41" s="318">
        <f t="shared" si="26"/>
        <v>305.51509444742322</v>
      </c>
      <c r="O41" s="320">
        <f t="shared" si="27"/>
        <v>0.44207372480784818</v>
      </c>
      <c r="P41" s="319">
        <f t="shared" si="27"/>
        <v>4.0039400369220468</v>
      </c>
      <c r="Q41" s="321">
        <f t="shared" si="28"/>
        <v>4.0282707204745813</v>
      </c>
      <c r="R41" s="320">
        <f t="shared" si="29"/>
        <v>17.908630119706753</v>
      </c>
      <c r="S41" s="319">
        <f t="shared" si="30"/>
        <v>162.20163542605772</v>
      </c>
      <c r="T41" s="321">
        <f t="shared" si="37"/>
        <v>163.18728371920466</v>
      </c>
      <c r="U41" s="322">
        <f t="shared" si="38"/>
        <v>200.33533812426694</v>
      </c>
      <c r="V41" s="319">
        <f t="shared" si="31"/>
        <v>-161.75956170124988</v>
      </c>
      <c r="W41" s="319">
        <f t="shared" si="32"/>
        <v>222.24790828089573</v>
      </c>
      <c r="X41" s="323">
        <f t="shared" si="33"/>
        <v>274.8823176143091</v>
      </c>
      <c r="Y41" s="323">
        <f t="shared" si="34"/>
        <v>476.1101402102687</v>
      </c>
      <c r="Z41" s="462">
        <f t="shared" si="41"/>
        <v>179.40264919651275</v>
      </c>
    </row>
    <row r="42" spans="5:31">
      <c r="E42" s="314">
        <f t="shared" si="21"/>
        <v>1.4408787899442963</v>
      </c>
      <c r="F42" s="315">
        <f t="shared" si="39"/>
        <v>190.93181818181807</v>
      </c>
      <c r="G42" s="316">
        <f t="shared" si="22"/>
        <v>2.2983956893664979E-2</v>
      </c>
      <c r="H42" s="315">
        <f t="shared" si="40"/>
        <v>85.795454545454604</v>
      </c>
      <c r="I42" s="318">
        <f t="shared" si="35"/>
        <v>3732.8409090909072</v>
      </c>
      <c r="J42" s="319">
        <f t="shared" si="23"/>
        <v>171.27266835952867</v>
      </c>
      <c r="K42" s="318">
        <f t="shared" si="24"/>
        <v>438.14712359541392</v>
      </c>
      <c r="L42" s="342">
        <f t="shared" si="36"/>
        <v>32.088941792643759</v>
      </c>
      <c r="M42" s="318">
        <f t="shared" si="25"/>
        <v>291.68060405398654</v>
      </c>
      <c r="N42" s="318">
        <f t="shared" si="26"/>
        <v>293.44041127061922</v>
      </c>
      <c r="O42" s="320">
        <f t="shared" si="27"/>
        <v>0.42309839030413315</v>
      </c>
      <c r="P42" s="319">
        <f t="shared" si="27"/>
        <v>3.8458605103166725</v>
      </c>
      <c r="Q42" s="321">
        <f t="shared" si="28"/>
        <v>3.8690638806681865</v>
      </c>
      <c r="R42" s="320">
        <f t="shared" si="29"/>
        <v>17.908630119706753</v>
      </c>
      <c r="S42" s="319">
        <f t="shared" si="30"/>
        <v>162.78505177422119</v>
      </c>
      <c r="T42" s="321">
        <f t="shared" si="37"/>
        <v>163.76718875861653</v>
      </c>
      <c r="U42" s="322">
        <f t="shared" si="38"/>
        <v>200.33533812426694</v>
      </c>
      <c r="V42" s="319">
        <f t="shared" si="31"/>
        <v>-162.36195338391707</v>
      </c>
      <c r="W42" s="319">
        <f t="shared" si="32"/>
        <v>222.08982875429035</v>
      </c>
      <c r="X42" s="323">
        <f t="shared" si="33"/>
        <v>275.10960714368241</v>
      </c>
      <c r="Y42" s="323">
        <f t="shared" si="34"/>
        <v>476.50381722317167</v>
      </c>
      <c r="Z42" s="462">
        <f t="shared" si="41"/>
        <v>172.39100398863857</v>
      </c>
      <c r="AD42" s="306"/>
      <c r="AE42" s="306"/>
    </row>
    <row r="43" spans="5:31">
      <c r="E43" s="314">
        <f t="shared" si="21"/>
        <v>1.382807011149644</v>
      </c>
      <c r="F43" s="315">
        <f t="shared" si="39"/>
        <v>199.12727272727261</v>
      </c>
      <c r="G43" s="316">
        <f t="shared" si="22"/>
        <v>2.211852543163792E-2</v>
      </c>
      <c r="H43" s="315">
        <f t="shared" si="40"/>
        <v>86.181818181818244</v>
      </c>
      <c r="I43" s="318">
        <f t="shared" si="35"/>
        <v>3896.3636363636342</v>
      </c>
      <c r="J43" s="319">
        <f t="shared" si="23"/>
        <v>164.96961455709163</v>
      </c>
      <c r="K43" s="318">
        <f t="shared" si="24"/>
        <v>404.3112820121105</v>
      </c>
      <c r="L43" s="342">
        <f t="shared" si="36"/>
        <v>30.768261504748015</v>
      </c>
      <c r="M43" s="318">
        <f t="shared" si="25"/>
        <v>280.6977444541692</v>
      </c>
      <c r="N43" s="318">
        <f t="shared" si="26"/>
        <v>282.37901773623804</v>
      </c>
      <c r="O43" s="320">
        <f t="shared" si="27"/>
        <v>0.40568498641173101</v>
      </c>
      <c r="P43" s="319">
        <f t="shared" si="27"/>
        <v>3.7010495580688088</v>
      </c>
      <c r="Q43" s="321">
        <f t="shared" si="28"/>
        <v>3.723217444560714</v>
      </c>
      <c r="R43" s="320">
        <f t="shared" si="29"/>
        <v>17.908630119706753</v>
      </c>
      <c r="S43" s="319">
        <f t="shared" si="30"/>
        <v>163.37978927051029</v>
      </c>
      <c r="T43" s="321">
        <f t="shared" si="37"/>
        <v>164.35837239045907</v>
      </c>
      <c r="U43" s="322">
        <f t="shared" si="38"/>
        <v>200.33533812426697</v>
      </c>
      <c r="V43" s="319">
        <f t="shared" si="31"/>
        <v>-162.97410428409856</v>
      </c>
      <c r="W43" s="319">
        <f t="shared" si="32"/>
        <v>221.94501780204254</v>
      </c>
      <c r="X43" s="323">
        <f t="shared" si="33"/>
        <v>275.35458883837987</v>
      </c>
      <c r="Y43" s="323">
        <f t="shared" si="34"/>
        <v>476.92813796531198</v>
      </c>
      <c r="Z43" s="462">
        <f t="shared" si="41"/>
        <v>165.93683353830846</v>
      </c>
      <c r="AD43" s="306"/>
      <c r="AE43" s="306"/>
    </row>
    <row r="44" spans="5:31">
      <c r="E44" s="314">
        <f t="shared" si="21"/>
        <v>1.3294020917442846</v>
      </c>
      <c r="F44" s="315">
        <f t="shared" si="39"/>
        <v>207.32272727272715</v>
      </c>
      <c r="G44" s="316">
        <f t="shared" si="22"/>
        <v>2.1322809079967562E-2</v>
      </c>
      <c r="H44" s="315">
        <f t="shared" si="40"/>
        <v>86.568181818181884</v>
      </c>
      <c r="I44" s="318">
        <f t="shared" si="35"/>
        <v>4059.8863636363612</v>
      </c>
      <c r="J44" s="319">
        <f t="shared" si="23"/>
        <v>159.16422371609761</v>
      </c>
      <c r="K44" s="318">
        <f t="shared" si="24"/>
        <v>374.37165524670553</v>
      </c>
      <c r="L44" s="342">
        <f t="shared" si="36"/>
        <v>29.551994036526299</v>
      </c>
      <c r="M44" s="318">
        <f t="shared" si="25"/>
        <v>270.59961264924851</v>
      </c>
      <c r="N44" s="318">
        <f t="shared" si="26"/>
        <v>272.20850596088695</v>
      </c>
      <c r="O44" s="320">
        <f t="shared" si="27"/>
        <v>0.38964828407018293</v>
      </c>
      <c r="P44" s="319">
        <f t="shared" si="27"/>
        <v>3.5679038987526028</v>
      </c>
      <c r="Q44" s="321">
        <f t="shared" si="28"/>
        <v>3.5891174424937482</v>
      </c>
      <c r="R44" s="320">
        <f t="shared" si="29"/>
        <v>17.908630119706753</v>
      </c>
      <c r="S44" s="319">
        <f t="shared" si="30"/>
        <v>163.98447994682073</v>
      </c>
      <c r="T44" s="321">
        <f t="shared" si="37"/>
        <v>164.9594759211902</v>
      </c>
      <c r="U44" s="322">
        <f t="shared" si="38"/>
        <v>200.33533812426694</v>
      </c>
      <c r="V44" s="319">
        <f t="shared" si="31"/>
        <v>-163.59483166275055</v>
      </c>
      <c r="W44" s="319">
        <f t="shared" si="32"/>
        <v>221.81187214272629</v>
      </c>
      <c r="X44" s="323">
        <f t="shared" si="33"/>
        <v>275.61526730249329</v>
      </c>
      <c r="Y44" s="323">
        <f t="shared" si="34"/>
        <v>477.37964630959544</v>
      </c>
      <c r="Z44" s="462">
        <f t="shared" si="41"/>
        <v>159.97509833310801</v>
      </c>
      <c r="AD44" s="306"/>
      <c r="AE44" s="306"/>
    </row>
    <row r="45" spans="5:31">
      <c r="E45" s="314">
        <f t="shared" si="21"/>
        <v>1.280123807881794</v>
      </c>
      <c r="F45" s="315">
        <f t="shared" si="39"/>
        <v>215.51818181818169</v>
      </c>
      <c r="G45" s="316">
        <f t="shared" si="22"/>
        <v>2.0588710111392166E-2</v>
      </c>
      <c r="H45" s="315">
        <f t="shared" si="40"/>
        <v>86.954545454545524</v>
      </c>
      <c r="I45" s="318">
        <f t="shared" si="35"/>
        <v>4223.4090909090874</v>
      </c>
      <c r="J45" s="319">
        <f t="shared" si="23"/>
        <v>153.79981569963059</v>
      </c>
      <c r="K45" s="318">
        <f t="shared" si="24"/>
        <v>347.74752416820434</v>
      </c>
      <c r="L45" s="342">
        <f t="shared" si="36"/>
        <v>28.428227949550788</v>
      </c>
      <c r="M45" s="318">
        <f t="shared" si="25"/>
        <v>261.28344348046204</v>
      </c>
      <c r="N45" s="318">
        <f t="shared" si="26"/>
        <v>262.82542110944945</v>
      </c>
      <c r="O45" s="320">
        <f t="shared" si="27"/>
        <v>0.37483122885065828</v>
      </c>
      <c r="P45" s="319">
        <f t="shared" si="27"/>
        <v>3.445068555518624</v>
      </c>
      <c r="Q45" s="321">
        <f t="shared" si="28"/>
        <v>3.4653998041127774</v>
      </c>
      <c r="R45" s="320">
        <f t="shared" si="29"/>
        <v>17.908630119706757</v>
      </c>
      <c r="S45" s="319">
        <f t="shared" si="30"/>
        <v>164.59796769600757</v>
      </c>
      <c r="T45" s="321">
        <f t="shared" si="37"/>
        <v>165.56935103581347</v>
      </c>
      <c r="U45" s="322">
        <f t="shared" si="38"/>
        <v>200.33533812426697</v>
      </c>
      <c r="V45" s="319">
        <f t="shared" si="31"/>
        <v>-164.22313646715691</v>
      </c>
      <c r="W45" s="319">
        <f t="shared" si="32"/>
        <v>221.68903679949236</v>
      </c>
      <c r="X45" s="323">
        <f t="shared" si="33"/>
        <v>275.88995557685155</v>
      </c>
      <c r="Y45" s="323">
        <f t="shared" si="34"/>
        <v>477.85542035702736</v>
      </c>
      <c r="Z45" s="462">
        <f t="shared" si="41"/>
        <v>154.45057632738076</v>
      </c>
      <c r="AD45" s="306"/>
      <c r="AE45" s="306"/>
    </row>
    <row r="46" spans="5:31">
      <c r="E46" s="314">
        <f t="shared" si="21"/>
        <v>1.2345122188186601</v>
      </c>
      <c r="F46" s="315">
        <f t="shared" si="39"/>
        <v>223.71363636363623</v>
      </c>
      <c r="G46" s="316">
        <f t="shared" si="22"/>
        <v>1.9909338168631035E-2</v>
      </c>
      <c r="H46" s="315">
        <f t="shared" si="40"/>
        <v>87.340909090909165</v>
      </c>
      <c r="I46" s="318">
        <f t="shared" si="35"/>
        <v>4386.9318181818153</v>
      </c>
      <c r="J46" s="319">
        <f t="shared" si="23"/>
        <v>148.8279997885183</v>
      </c>
      <c r="K46" s="318">
        <f t="shared" si="24"/>
        <v>323.96279885616246</v>
      </c>
      <c r="L46" s="342">
        <f t="shared" si="36"/>
        <v>27.386797244854442</v>
      </c>
      <c r="M46" s="318">
        <f t="shared" si="25"/>
        <v>252.66179405957766</v>
      </c>
      <c r="N46" s="318">
        <f t="shared" si="26"/>
        <v>254.1417298295091</v>
      </c>
      <c r="O46" s="320">
        <f t="shared" si="27"/>
        <v>0.3610997802532685</v>
      </c>
      <c r="P46" s="319">
        <f t="shared" si="27"/>
        <v>3.3313905783726474</v>
      </c>
      <c r="Q46" s="321">
        <f t="shared" si="28"/>
        <v>3.3509037940485551</v>
      </c>
      <c r="R46" s="320">
        <f t="shared" si="29"/>
        <v>17.908630119706753</v>
      </c>
      <c r="S46" s="319">
        <f t="shared" si="30"/>
        <v>165.21926878633622</v>
      </c>
      <c r="T46" s="321">
        <f t="shared" si="37"/>
        <v>166.18702058541174</v>
      </c>
      <c r="U46" s="322">
        <f t="shared" si="38"/>
        <v>200.33533812426694</v>
      </c>
      <c r="V46" s="319">
        <f t="shared" si="31"/>
        <v>-164.85816900608296</v>
      </c>
      <c r="W46" s="319">
        <f t="shared" si="32"/>
        <v>221.57535882234635</v>
      </c>
      <c r="X46" s="323">
        <f t="shared" si="33"/>
        <v>276.17721760726346</v>
      </c>
      <c r="Y46" s="323">
        <f t="shared" si="34"/>
        <v>478.35297278878619</v>
      </c>
      <c r="Z46" s="462">
        <f t="shared" si="41"/>
        <v>149.3160696423048</v>
      </c>
      <c r="AD46" s="306"/>
      <c r="AE46" s="306"/>
    </row>
    <row r="47" spans="5:31">
      <c r="E47" s="345">
        <f t="shared" si="21"/>
        <v>1.1921732867130912</v>
      </c>
      <c r="F47" s="315">
        <f t="shared" si="39"/>
        <v>231.90909090909076</v>
      </c>
      <c r="G47" s="346">
        <f t="shared" si="22"/>
        <v>1.9278793327339956E-2</v>
      </c>
      <c r="H47" s="315">
        <f t="shared" si="40"/>
        <v>87.727272727272805</v>
      </c>
      <c r="I47" s="318">
        <f t="shared" si="35"/>
        <v>4550.4545454545423</v>
      </c>
      <c r="J47" s="347">
        <f t="shared" si="23"/>
        <v>144.20721325010663</v>
      </c>
      <c r="K47" s="348">
        <f t="shared" si="24"/>
        <v>302.62415223359557</v>
      </c>
      <c r="L47" s="349">
        <f t="shared" si="36"/>
        <v>26.418972951783637</v>
      </c>
      <c r="M47" s="348">
        <f t="shared" si="25"/>
        <v>244.65979070385436</v>
      </c>
      <c r="N47" s="348">
        <f t="shared" si="26"/>
        <v>246.08204997333897</v>
      </c>
      <c r="O47" s="350">
        <f t="shared" si="27"/>
        <v>0.34833884525137426</v>
      </c>
      <c r="P47" s="347">
        <f t="shared" si="27"/>
        <v>3.2258827445246969</v>
      </c>
      <c r="Q47" s="351">
        <f t="shared" si="28"/>
        <v>3.2446354853100607</v>
      </c>
      <c r="R47" s="350">
        <f t="shared" si="29"/>
        <v>17.908630119706753</v>
      </c>
      <c r="S47" s="347">
        <f t="shared" si="30"/>
        <v>165.84754088952519</v>
      </c>
      <c r="T47" s="321">
        <f t="shared" si="37"/>
        <v>166.8116478303215</v>
      </c>
      <c r="U47" s="352">
        <f t="shared" si="38"/>
        <v>200.33533812426694</v>
      </c>
      <c r="V47" s="347">
        <f t="shared" si="31"/>
        <v>-165.49920204427383</v>
      </c>
      <c r="W47" s="347">
        <f t="shared" si="32"/>
        <v>221.46985098849839</v>
      </c>
      <c r="X47" s="353">
        <f t="shared" si="33"/>
        <v>276.47582312773579</v>
      </c>
      <c r="Y47" s="353">
        <f t="shared" si="34"/>
        <v>478.87017272166486</v>
      </c>
      <c r="Z47" s="462">
        <f t="shared" si="41"/>
        <v>144.5309916223795</v>
      </c>
      <c r="AD47" s="306"/>
      <c r="AE47" s="306"/>
    </row>
    <row r="48" spans="5:31" ht="15.75" thickBot="1">
      <c r="E48" s="314">
        <f t="shared" si="21"/>
        <v>1.1527674805891279</v>
      </c>
      <c r="F48" s="315">
        <f t="shared" si="39"/>
        <v>240.1045454545453</v>
      </c>
      <c r="G48" s="316">
        <f>H48/I48</f>
        <v>1.8691994310922572E-2</v>
      </c>
      <c r="H48" s="315">
        <f t="shared" si="40"/>
        <v>88.113636363636445</v>
      </c>
      <c r="I48" s="318">
        <f>F48*120/$B$3-H48</f>
        <v>4713.9772727272702</v>
      </c>
      <c r="J48" s="319">
        <f t="shared" si="23"/>
        <v>139.901558456305</v>
      </c>
      <c r="K48" s="318">
        <f t="shared" si="24"/>
        <v>283.40430960582916</v>
      </c>
      <c r="L48" s="342">
        <f t="shared" si="36"/>
        <v>25.517217878575639</v>
      </c>
      <c r="M48" s="318">
        <f t="shared" si="25"/>
        <v>237.21294887593203</v>
      </c>
      <c r="N48" s="318">
        <f t="shared" si="26"/>
        <v>238.58145678714899</v>
      </c>
      <c r="O48" s="320">
        <f t="shared" si="27"/>
        <v>0.3364490446344417</v>
      </c>
      <c r="P48" s="319">
        <f t="shared" si="27"/>
        <v>3.1276948139097427</v>
      </c>
      <c r="Q48" s="321">
        <f t="shared" si="28"/>
        <v>3.1457388335005381</v>
      </c>
      <c r="R48" s="320">
        <f t="shared" si="29"/>
        <v>17.908630119706753</v>
      </c>
      <c r="S48" s="319">
        <f t="shared" si="30"/>
        <v>166.48205855508826</v>
      </c>
      <c r="T48" s="321">
        <f t="shared" si="37"/>
        <v>167.44251208550446</v>
      </c>
      <c r="U48" s="322">
        <f t="shared" si="38"/>
        <v>200.33533812426694</v>
      </c>
      <c r="V48" s="319">
        <f t="shared" si="31"/>
        <v>-166.14560951045382</v>
      </c>
      <c r="W48" s="319">
        <f t="shared" si="32"/>
        <v>221.37166305788344</v>
      </c>
      <c r="X48" s="323">
        <f t="shared" si="33"/>
        <v>276.78471194163393</v>
      </c>
      <c r="Y48" s="323">
        <f t="shared" si="34"/>
        <v>479.40518384122612</v>
      </c>
      <c r="Z48" s="462">
        <f t="shared" si="41"/>
        <v>140.06024315776941</v>
      </c>
      <c r="AD48" s="306"/>
      <c r="AE48" s="306"/>
    </row>
    <row r="49" spans="4:31" ht="15.75" thickBot="1">
      <c r="D49" s="338" t="s">
        <v>211</v>
      </c>
      <c r="E49" s="327">
        <f t="shared" si="21"/>
        <v>1.1160006661037507</v>
      </c>
      <c r="F49" s="328">
        <v>248.3</v>
      </c>
      <c r="G49" s="329">
        <f>H49/I49</f>
        <v>1.814454126089185E-2</v>
      </c>
      <c r="H49" s="332">
        <v>88.5</v>
      </c>
      <c r="I49" s="331">
        <f>F49*120/$B$3-H49</f>
        <v>4877.5</v>
      </c>
      <c r="J49" s="332">
        <f t="shared" si="23"/>
        <v>135.87986976238483</v>
      </c>
      <c r="K49" s="331">
        <f t="shared" si="24"/>
        <v>266.02914943351931</v>
      </c>
      <c r="L49" s="354">
        <f t="shared" si="36"/>
        <v>24.674989931534437</v>
      </c>
      <c r="M49" s="331">
        <f t="shared" si="25"/>
        <v>230.26543165498862</v>
      </c>
      <c r="N49" s="331">
        <f t="shared" si="26"/>
        <v>231.58373030802392</v>
      </c>
      <c r="O49" s="333">
        <f t="shared" ref="O49:P56" si="42">$B$16*L49/1000</f>
        <v>0.32534411973648264</v>
      </c>
      <c r="P49" s="332">
        <f t="shared" si="42"/>
        <v>3.0360905668209441</v>
      </c>
      <c r="Q49" s="334">
        <f t="shared" si="28"/>
        <v>3.0534725684351951</v>
      </c>
      <c r="R49" s="333">
        <f t="shared" si="29"/>
        <v>17.908630119706753</v>
      </c>
      <c r="S49" s="332">
        <f t="shared" si="30"/>
        <v>167.12219361815025</v>
      </c>
      <c r="T49" s="334">
        <f t="shared" si="37"/>
        <v>168.07898926548486</v>
      </c>
      <c r="U49" s="335">
        <f t="shared" si="38"/>
        <v>200.33533812426694</v>
      </c>
      <c r="V49" s="332">
        <f t="shared" si="31"/>
        <v>-166.79684949841376</v>
      </c>
      <c r="W49" s="332">
        <f t="shared" si="32"/>
        <v>221.28005881079463</v>
      </c>
      <c r="X49" s="336">
        <f t="shared" si="33"/>
        <v>277.10296539356131</v>
      </c>
      <c r="Y49" s="336">
        <f t="shared" si="34"/>
        <v>479.95641498964847</v>
      </c>
      <c r="Z49" s="463">
        <f t="shared" si="41"/>
        <v>135.87331132427954</v>
      </c>
      <c r="AD49" s="306"/>
      <c r="AE49" s="306"/>
    </row>
    <row r="50" spans="4:31">
      <c r="E50" s="314">
        <f t="shared" si="21"/>
        <v>1.0621099848116518</v>
      </c>
      <c r="F50" s="315">
        <f>F49*1.05</f>
        <v>260.71500000000003</v>
      </c>
      <c r="G50" s="316">
        <f t="shared" si="22"/>
        <v>1.7265597565258105E-2</v>
      </c>
      <c r="H50" s="319">
        <f>H49</f>
        <v>88.5</v>
      </c>
      <c r="I50" s="318">
        <f t="shared" si="35"/>
        <v>5125.8</v>
      </c>
      <c r="J50" s="319">
        <f t="shared" si="23"/>
        <v>129.41342877596543</v>
      </c>
      <c r="K50" s="318">
        <f t="shared" si="24"/>
        <v>241.09548041865654</v>
      </c>
      <c r="L50" s="342">
        <f t="shared" si="36"/>
        <v>23.499990410985177</v>
      </c>
      <c r="M50" s="318">
        <f t="shared" si="25"/>
        <v>219.11109346779176</v>
      </c>
      <c r="N50" s="318">
        <f t="shared" si="26"/>
        <v>220.36769461508592</v>
      </c>
      <c r="O50" s="320">
        <f t="shared" si="42"/>
        <v>0.30985154260617392</v>
      </c>
      <c r="P50" s="319">
        <f t="shared" si="42"/>
        <v>2.8890186389771655</v>
      </c>
      <c r="Q50" s="321">
        <f t="shared" si="28"/>
        <v>2.9055871480327173</v>
      </c>
      <c r="R50" s="320">
        <f t="shared" si="29"/>
        <v>17.908630119706753</v>
      </c>
      <c r="S50" s="319">
        <f t="shared" si="30"/>
        <v>166.97792039118858</v>
      </c>
      <c r="T50" s="321">
        <f t="shared" si="37"/>
        <v>167.93553802257156</v>
      </c>
      <c r="U50" s="322">
        <f t="shared" si="38"/>
        <v>200.33533812426694</v>
      </c>
      <c r="V50" s="319">
        <f t="shared" si="31"/>
        <v>-166.66806884858241</v>
      </c>
      <c r="W50" s="319">
        <f t="shared" si="32"/>
        <v>221.13298688295086</v>
      </c>
      <c r="X50" s="323">
        <f t="shared" si="33"/>
        <v>276.90800469016983</v>
      </c>
      <c r="Y50" s="323">
        <f t="shared" si="34"/>
        <v>479.61873314589508</v>
      </c>
      <c r="Z50" s="462">
        <f t="shared" si="41"/>
        <v>129.99955406459139</v>
      </c>
      <c r="AD50" s="306"/>
      <c r="AE50" s="306"/>
    </row>
    <row r="51" spans="4:31">
      <c r="E51" s="314">
        <f t="shared" si="21"/>
        <v>1.0108562484801811</v>
      </c>
      <c r="F51" s="315">
        <f t="shared" ref="F51:F56" si="43">F50*1.05</f>
        <v>273.75075000000004</v>
      </c>
      <c r="G51" s="316">
        <f t="shared" si="22"/>
        <v>1.6429918045341003E-2</v>
      </c>
      <c r="H51" s="319">
        <f t="shared" ref="H51:H56" si="44">H50</f>
        <v>88.5</v>
      </c>
      <c r="I51" s="318">
        <f t="shared" si="35"/>
        <v>5386.5150000000003</v>
      </c>
      <c r="J51" s="319">
        <f t="shared" si="23"/>
        <v>123.25435616223434</v>
      </c>
      <c r="K51" s="318">
        <f t="shared" si="24"/>
        <v>218.50721708743339</v>
      </c>
      <c r="L51" s="342">
        <f t="shared" si="36"/>
        <v>22.380943248557312</v>
      </c>
      <c r="M51" s="318">
        <f t="shared" si="25"/>
        <v>208.50580438320642</v>
      </c>
      <c r="N51" s="318">
        <f t="shared" si="26"/>
        <v>209.70354570722711</v>
      </c>
      <c r="O51" s="320">
        <f t="shared" si="42"/>
        <v>0.29509670724397519</v>
      </c>
      <c r="P51" s="319">
        <f t="shared" si="42"/>
        <v>2.7491860209558792</v>
      </c>
      <c r="Q51" s="321">
        <f t="shared" si="28"/>
        <v>2.7649784527994892</v>
      </c>
      <c r="R51" s="320">
        <f t="shared" si="29"/>
        <v>17.908630119706757</v>
      </c>
      <c r="S51" s="319">
        <f t="shared" si="30"/>
        <v>166.84074871381819</v>
      </c>
      <c r="T51" s="321">
        <f t="shared" si="37"/>
        <v>167.79914917588792</v>
      </c>
      <c r="U51" s="322">
        <f t="shared" si="38"/>
        <v>200.33533812426697</v>
      </c>
      <c r="V51" s="319">
        <f t="shared" si="31"/>
        <v>-166.54565200657422</v>
      </c>
      <c r="W51" s="319">
        <f t="shared" si="32"/>
        <v>220.99315426492961</v>
      </c>
      <c r="X51" s="323">
        <f t="shared" si="33"/>
        <v>276.72265616363597</v>
      </c>
      <c r="Y51" s="323">
        <f t="shared" si="34"/>
        <v>479.2977000808304</v>
      </c>
      <c r="Z51" s="462">
        <f t="shared" si="41"/>
        <v>124.38434672939415</v>
      </c>
      <c r="AD51" s="306"/>
      <c r="AE51" s="306"/>
    </row>
    <row r="52" spans="4:31">
      <c r="E52" s="314">
        <f t="shared" si="21"/>
        <v>0.96210714736113045</v>
      </c>
      <c r="F52" s="315">
        <f t="shared" si="43"/>
        <v>287.43828750000006</v>
      </c>
      <c r="G52" s="316">
        <f t="shared" si="22"/>
        <v>1.5635308289191189E-2</v>
      </c>
      <c r="H52" s="319">
        <f t="shared" si="44"/>
        <v>88.5</v>
      </c>
      <c r="I52" s="318">
        <f t="shared" si="35"/>
        <v>5660.2657500000014</v>
      </c>
      <c r="J52" s="319">
        <f t="shared" si="23"/>
        <v>117.38809280957571</v>
      </c>
      <c r="K52" s="318">
        <f t="shared" si="24"/>
        <v>198.04259435106007</v>
      </c>
      <c r="L52" s="342">
        <f t="shared" si="36"/>
        <v>21.315184046245058</v>
      </c>
      <c r="M52" s="318">
        <f t="shared" si="25"/>
        <v>198.42171595869098</v>
      </c>
      <c r="N52" s="318">
        <f t="shared" si="26"/>
        <v>199.56330934046156</v>
      </c>
      <c r="O52" s="320">
        <f t="shared" si="42"/>
        <v>0.28104448308950014</v>
      </c>
      <c r="P52" s="319">
        <f t="shared" si="42"/>
        <v>2.6162255261016947</v>
      </c>
      <c r="Q52" s="321">
        <f t="shared" si="28"/>
        <v>2.63127763736576</v>
      </c>
      <c r="R52" s="320">
        <f t="shared" si="29"/>
        <v>17.908630119706757</v>
      </c>
      <c r="S52" s="319">
        <f t="shared" si="30"/>
        <v>166.71031838675114</v>
      </c>
      <c r="T52" s="321">
        <f t="shared" si="37"/>
        <v>167.66946439163098</v>
      </c>
      <c r="U52" s="322">
        <f t="shared" si="38"/>
        <v>200.33533812426697</v>
      </c>
      <c r="V52" s="319">
        <f t="shared" si="31"/>
        <v>-166.42927390366165</v>
      </c>
      <c r="W52" s="319">
        <f t="shared" si="32"/>
        <v>220.86019377007543</v>
      </c>
      <c r="X52" s="323">
        <f t="shared" si="33"/>
        <v>276.54643082899355</v>
      </c>
      <c r="Y52" s="323">
        <f t="shared" si="34"/>
        <v>478.99246884764892</v>
      </c>
      <c r="Z52" s="462">
        <f t="shared" si="41"/>
        <v>119.01589466456308</v>
      </c>
      <c r="AD52" s="306"/>
      <c r="AE52" s="306"/>
    </row>
    <row r="53" spans="4:31">
      <c r="E53" s="314">
        <f t="shared" si="21"/>
        <v>0.91573732192655644</v>
      </c>
      <c r="F53" s="315">
        <f t="shared" si="43"/>
        <v>301.81020187500008</v>
      </c>
      <c r="G53" s="316">
        <f t="shared" si="22"/>
        <v>1.4879691296340831E-2</v>
      </c>
      <c r="H53" s="319">
        <f t="shared" si="44"/>
        <v>88.5</v>
      </c>
      <c r="I53" s="318">
        <f t="shared" si="35"/>
        <v>5947.7040375000024</v>
      </c>
      <c r="J53" s="319">
        <f t="shared" si="23"/>
        <v>111.80076206213604</v>
      </c>
      <c r="K53" s="318">
        <f t="shared" si="24"/>
        <v>179.50096855635397</v>
      </c>
      <c r="L53" s="342">
        <f t="shared" si="36"/>
        <v>20.300175282138149</v>
      </c>
      <c r="M53" s="318">
        <f t="shared" si="25"/>
        <v>188.83246977589826</v>
      </c>
      <c r="N53" s="318">
        <f t="shared" si="26"/>
        <v>189.9205064182145</v>
      </c>
      <c r="O53" s="320">
        <f t="shared" si="42"/>
        <v>0.26766141246619057</v>
      </c>
      <c r="P53" s="319">
        <f t="shared" si="42"/>
        <v>2.4897896139925666</v>
      </c>
      <c r="Q53" s="321">
        <f t="shared" si="28"/>
        <v>2.5041355701456438</v>
      </c>
      <c r="R53" s="320">
        <f t="shared" si="29"/>
        <v>17.908630119706753</v>
      </c>
      <c r="S53" s="319">
        <f t="shared" si="30"/>
        <v>166.58628848307566</v>
      </c>
      <c r="T53" s="321">
        <f t="shared" si="37"/>
        <v>167.54614451944562</v>
      </c>
      <c r="U53" s="322">
        <f t="shared" si="38"/>
        <v>200.33533812426697</v>
      </c>
      <c r="V53" s="319">
        <f t="shared" si="31"/>
        <v>-166.31862707060947</v>
      </c>
      <c r="W53" s="319">
        <f t="shared" si="32"/>
        <v>220.73375785796628</v>
      </c>
      <c r="X53" s="323">
        <f t="shared" si="33"/>
        <v>276.37886599512592</v>
      </c>
      <c r="Y53" s="323">
        <f t="shared" si="34"/>
        <v>478.70223804182837</v>
      </c>
      <c r="Z53" s="462">
        <f t="shared" si="41"/>
        <v>113.88297818120886</v>
      </c>
      <c r="AD53" s="306"/>
      <c r="AE53" s="306"/>
    </row>
    <row r="54" spans="4:31">
      <c r="E54" s="314">
        <f t="shared" si="21"/>
        <v>0.87162796827629629</v>
      </c>
      <c r="F54" s="315">
        <f t="shared" si="43"/>
        <v>316.9007119687501</v>
      </c>
      <c r="G54" s="316">
        <f t="shared" si="22"/>
        <v>1.4161100624814427E-2</v>
      </c>
      <c r="H54" s="319">
        <f t="shared" si="44"/>
        <v>88.5</v>
      </c>
      <c r="I54" s="318">
        <f t="shared" si="35"/>
        <v>6249.514239375002</v>
      </c>
      <c r="J54" s="319">
        <f t="shared" si="23"/>
        <v>106.47913874909533</v>
      </c>
      <c r="K54" s="318">
        <f t="shared" si="24"/>
        <v>162.70078555527306</v>
      </c>
      <c r="L54" s="342">
        <f t="shared" si="36"/>
        <v>19.333500268702998</v>
      </c>
      <c r="M54" s="318">
        <f t="shared" si="25"/>
        <v>179.71311047201127</v>
      </c>
      <c r="N54" s="318">
        <f t="shared" si="26"/>
        <v>180.75006585936632</v>
      </c>
      <c r="O54" s="320">
        <f t="shared" si="42"/>
        <v>0.25491563092018155</v>
      </c>
      <c r="P54" s="319">
        <f t="shared" si="42"/>
        <v>2.3695492437425218</v>
      </c>
      <c r="Q54" s="321">
        <f t="shared" si="28"/>
        <v>2.383221684486819</v>
      </c>
      <c r="R54" s="320">
        <f t="shared" si="29"/>
        <v>17.908630119706757</v>
      </c>
      <c r="S54" s="319">
        <f t="shared" si="30"/>
        <v>166.46833622337951</v>
      </c>
      <c r="T54" s="321">
        <f t="shared" si="37"/>
        <v>167.4288684717919</v>
      </c>
      <c r="U54" s="322">
        <f t="shared" si="38"/>
        <v>200.33533812426697</v>
      </c>
      <c r="V54" s="319">
        <f t="shared" si="31"/>
        <v>-166.21342059245933</v>
      </c>
      <c r="W54" s="319">
        <f t="shared" si="32"/>
        <v>220.61351748771625</v>
      </c>
      <c r="X54" s="323">
        <f t="shared" si="33"/>
        <v>276.21952371863341</v>
      </c>
      <c r="Y54" s="323">
        <f t="shared" si="34"/>
        <v>478.4262491231496</v>
      </c>
      <c r="Z54" s="462">
        <f t="shared" si="41"/>
        <v>108.97492127400527</v>
      </c>
      <c r="AD54" s="306"/>
      <c r="AE54" s="306"/>
    </row>
    <row r="55" spans="4:31">
      <c r="E55" s="314">
        <f t="shared" si="21"/>
        <v>0.8296664687050147</v>
      </c>
      <c r="F55" s="315">
        <f t="shared" si="43"/>
        <v>332.74574756718761</v>
      </c>
      <c r="G55" s="316">
        <f t="shared" si="22"/>
        <v>1.3477673990415325E-2</v>
      </c>
      <c r="H55" s="319">
        <f t="shared" si="44"/>
        <v>88.5</v>
      </c>
      <c r="I55" s="318">
        <f t="shared" si="35"/>
        <v>6566.4149513437524</v>
      </c>
      <c r="J55" s="319">
        <f t="shared" si="23"/>
        <v>101.41061947135394</v>
      </c>
      <c r="K55" s="318">
        <f t="shared" si="24"/>
        <v>147.47774690273843</v>
      </c>
      <c r="L55" s="342">
        <f t="shared" si="36"/>
        <v>18.412857398764761</v>
      </c>
      <c r="M55" s="318">
        <f t="shared" si="25"/>
        <v>171.04000451073713</v>
      </c>
      <c r="N55" s="318">
        <f t="shared" si="26"/>
        <v>172.02824320622537</v>
      </c>
      <c r="O55" s="320">
        <f t="shared" si="42"/>
        <v>0.24277679135255387</v>
      </c>
      <c r="P55" s="319">
        <f t="shared" si="42"/>
        <v>2.2551928029828114</v>
      </c>
      <c r="Q55" s="321">
        <f t="shared" si="28"/>
        <v>2.2682229055022152</v>
      </c>
      <c r="R55" s="320">
        <f t="shared" si="29"/>
        <v>17.908630119706753</v>
      </c>
      <c r="S55" s="319">
        <f t="shared" si="30"/>
        <v>166.3561559251122</v>
      </c>
      <c r="T55" s="321">
        <f t="shared" si="37"/>
        <v>167.31733217734708</v>
      </c>
      <c r="U55" s="322">
        <f t="shared" si="38"/>
        <v>200.33533812426697</v>
      </c>
      <c r="V55" s="319">
        <f t="shared" si="31"/>
        <v>-166.11337913375965</v>
      </c>
      <c r="W55" s="319">
        <f t="shared" si="32"/>
        <v>220.49916104695654</v>
      </c>
      <c r="X55" s="323">
        <f t="shared" si="33"/>
        <v>276.06798936067878</v>
      </c>
      <c r="Y55" s="323">
        <f t="shared" si="34"/>
        <v>478.16378391607986</v>
      </c>
      <c r="Z55" s="462">
        <f t="shared" si="41"/>
        <v>104.28156231997076</v>
      </c>
      <c r="AD55" s="306"/>
      <c r="AE55" s="306"/>
    </row>
    <row r="56" spans="4:31">
      <c r="E56" s="314">
        <f t="shared" si="21"/>
        <v>0.78974604557401151</v>
      </c>
      <c r="F56" s="315">
        <f t="shared" si="43"/>
        <v>349.38303494554702</v>
      </c>
      <c r="G56" s="316">
        <f t="shared" si="22"/>
        <v>1.2827647283816723E-2</v>
      </c>
      <c r="H56" s="319">
        <f t="shared" si="44"/>
        <v>88.5</v>
      </c>
      <c r="I56" s="318">
        <f t="shared" si="35"/>
        <v>6899.1606989109396</v>
      </c>
      <c r="J56" s="319">
        <f t="shared" si="23"/>
        <v>96.583194117085981</v>
      </c>
      <c r="K56" s="318">
        <f t="shared" si="24"/>
        <v>133.68315452427237</v>
      </c>
      <c r="L56" s="342">
        <f t="shared" si="36"/>
        <v>17.536054665490248</v>
      </c>
      <c r="M56" s="318">
        <f t="shared" si="25"/>
        <v>162.79076425549795</v>
      </c>
      <c r="N56" s="318">
        <f t="shared" si="26"/>
        <v>163.73254453565477</v>
      </c>
      <c r="O56" s="320">
        <f t="shared" si="42"/>
        <v>0.23121599176433699</v>
      </c>
      <c r="P56" s="319">
        <f t="shared" si="42"/>
        <v>2.1464251067534557</v>
      </c>
      <c r="Q56" s="321">
        <f t="shared" si="28"/>
        <v>2.1588426468247173</v>
      </c>
      <c r="R56" s="320">
        <f t="shared" si="29"/>
        <v>17.908630119706757</v>
      </c>
      <c r="S56" s="319">
        <f t="shared" si="30"/>
        <v>166.2494580205273</v>
      </c>
      <c r="T56" s="321">
        <f t="shared" si="37"/>
        <v>167.21124760279594</v>
      </c>
      <c r="U56" s="322">
        <f t="shared" si="38"/>
        <v>200.33533812426697</v>
      </c>
      <c r="V56" s="319">
        <f t="shared" si="31"/>
        <v>-166.01824202876296</v>
      </c>
      <c r="W56" s="319">
        <f t="shared" si="32"/>
        <v>220.39039335072718</v>
      </c>
      <c r="X56" s="323">
        <f t="shared" si="33"/>
        <v>275.92387023889245</v>
      </c>
      <c r="Y56" s="323">
        <f t="shared" si="34"/>
        <v>477.91416227480374</v>
      </c>
      <c r="Z56" s="462">
        <f t="shared" si="41"/>
        <v>99.793226609604218</v>
      </c>
      <c r="AD56" s="306"/>
      <c r="AE56" s="306"/>
    </row>
    <row r="57" spans="4:31">
      <c r="E57" s="314"/>
      <c r="F57" s="315"/>
      <c r="G57" s="316"/>
      <c r="H57" s="319"/>
      <c r="I57" s="318"/>
      <c r="J57" s="319"/>
      <c r="K57" s="318"/>
      <c r="L57" s="318"/>
      <c r="M57" s="318"/>
      <c r="N57" s="318"/>
      <c r="O57" s="320"/>
      <c r="P57" s="319"/>
      <c r="Q57" s="321"/>
      <c r="R57" s="320"/>
      <c r="S57" s="319"/>
      <c r="T57" s="321"/>
      <c r="U57" s="322"/>
      <c r="V57" s="319"/>
      <c r="W57" s="319"/>
      <c r="X57" s="323"/>
      <c r="Y57" s="323"/>
      <c r="AD57" s="306"/>
      <c r="AE57" s="306"/>
    </row>
    <row r="58" spans="4:31" ht="15.75" thickBot="1">
      <c r="E58" s="301" t="s">
        <v>212</v>
      </c>
      <c r="P58" s="302">
        <f>P63/O63</f>
        <v>2.5120872395164633</v>
      </c>
      <c r="S58" s="302">
        <f>S63/R63</f>
        <v>2.5120872395164637</v>
      </c>
      <c r="AD58" s="306"/>
      <c r="AE58" s="306"/>
    </row>
    <row r="59" spans="4:31">
      <c r="E59" s="309" t="s">
        <v>182</v>
      </c>
      <c r="F59" s="302" t="s">
        <v>183</v>
      </c>
      <c r="G59" s="302" t="s">
        <v>184</v>
      </c>
      <c r="H59" s="302" t="s">
        <v>153</v>
      </c>
      <c r="I59" s="302" t="s">
        <v>79</v>
      </c>
      <c r="J59" s="302" t="s">
        <v>185</v>
      </c>
      <c r="K59" s="302" t="s">
        <v>186</v>
      </c>
      <c r="L59" s="302" t="s">
        <v>187</v>
      </c>
      <c r="M59" s="302" t="s">
        <v>188</v>
      </c>
      <c r="N59" s="302" t="s">
        <v>189</v>
      </c>
      <c r="O59" s="310" t="s">
        <v>190</v>
      </c>
      <c r="P59" s="311" t="s">
        <v>191</v>
      </c>
      <c r="Q59" s="312" t="s">
        <v>192</v>
      </c>
      <c r="R59" s="310" t="s">
        <v>193</v>
      </c>
      <c r="S59" s="311" t="s">
        <v>194</v>
      </c>
      <c r="T59" s="312" t="s">
        <v>195</v>
      </c>
      <c r="U59" s="313" t="s">
        <v>155</v>
      </c>
      <c r="V59" s="302" t="s">
        <v>196</v>
      </c>
      <c r="W59" s="302" t="s">
        <v>197</v>
      </c>
      <c r="X59" s="302" t="s">
        <v>198</v>
      </c>
      <c r="Y59" s="302" t="s">
        <v>199</v>
      </c>
    </row>
    <row r="60" spans="4:31">
      <c r="E60" s="314">
        <f>X60/F60</f>
        <v>0.8789537642222286</v>
      </c>
      <c r="F60" s="323">
        <f>F$71-$H$71/120*$B$3+H60/120*$B$3</f>
        <v>243.87500005000001</v>
      </c>
      <c r="G60" s="316">
        <f>H60/I60</f>
        <v>2.0502306509482316E-10</v>
      </c>
      <c r="H60" s="355">
        <v>9.9999999999999995E-7</v>
      </c>
      <c r="I60" s="318">
        <f t="shared" ref="I60:I69" si="45">I61</f>
        <v>4877.5</v>
      </c>
      <c r="J60" s="319">
        <f>3*(1-G60)/G60*$B$17/1000*M60^2/1000</f>
        <v>1.5085003596321957E-6</v>
      </c>
      <c r="K60" s="318">
        <f>J60/I60*1000*30/PI()</f>
        <v>2.9533813087610345E-6</v>
      </c>
      <c r="L60" s="356">
        <f t="shared" ref="L60:L69" si="46">L61</f>
        <v>24.674989931534437</v>
      </c>
      <c r="M60" s="318">
        <f>U60/$B$17*1000*G60</f>
        <v>2.5555008933686301E-6</v>
      </c>
      <c r="N60" s="318">
        <f>(L60^2+M60^2)^0.5</f>
        <v>24.674989931534569</v>
      </c>
      <c r="O60" s="320">
        <f>$B$16*L60/1000</f>
        <v>0.32534411973648264</v>
      </c>
      <c r="P60" s="302">
        <f>$B$16*M60/1000</f>
        <v>3.3694732640043253E-8</v>
      </c>
      <c r="Q60" s="321">
        <f>N60*$B$16/1000</f>
        <v>0.32534411973648442</v>
      </c>
      <c r="R60" s="320">
        <f>2*PI()*F60*$B$19*L60/1000</f>
        <v>17.589477129838567</v>
      </c>
      <c r="S60" s="319">
        <f>2*PI()*F60*$B$19*M60/1000</f>
        <v>1.8216795485595684E-6</v>
      </c>
      <c r="T60" s="321">
        <f>2*PI()*F60*$B$19*N60/1000</f>
        <v>17.589477129838663</v>
      </c>
      <c r="U60" s="322">
        <f>$B$21*2*PI()*F60*L60/1000</f>
        <v>196.76512523186616</v>
      </c>
      <c r="V60" s="319">
        <f>O60-S60</f>
        <v>0.3253422980569341</v>
      </c>
      <c r="W60" s="319">
        <f>P60+R60+U60</f>
        <v>214.35460239539947</v>
      </c>
      <c r="X60" s="323">
        <f>(W60^2+V60^2)^0.5</f>
        <v>214.3548492936437</v>
      </c>
      <c r="Y60" s="323">
        <f>X60*3^0.5</f>
        <v>371.27348982536051</v>
      </c>
    </row>
    <row r="61" spans="4:31">
      <c r="E61" s="314">
        <f t="shared" ref="E61:E75" si="47">X61/F61</f>
        <v>0.88203077731702439</v>
      </c>
      <c r="F61" s="323">
        <f>F$71-$H$71/120*$B$3+H61/120*$B$3</f>
        <v>244.27727277272729</v>
      </c>
      <c r="G61" s="316">
        <f t="shared" ref="G61:G75" si="48">H61/I61</f>
        <v>1.6495039373747727E-3</v>
      </c>
      <c r="H61" s="355">
        <f>H60+($H$71-$H$60)/11</f>
        <v>8.0454554545454542</v>
      </c>
      <c r="I61" s="318">
        <f t="shared" si="45"/>
        <v>4877.5</v>
      </c>
      <c r="J61" s="319">
        <f t="shared" ref="J61:J75" si="49">3*(1-G61)/G61*$B$17/1000*M61^2/1000</f>
        <v>12.156558691707465</v>
      </c>
      <c r="K61" s="318">
        <f t="shared" ref="K61:K75" si="50">J61/I61*1000*30/PI()</f>
        <v>23.80042735137247</v>
      </c>
      <c r="L61" s="356">
        <f t="shared" si="46"/>
        <v>24.674989931534437</v>
      </c>
      <c r="M61" s="318">
        <f t="shared" ref="M61:M75" si="51">U61/$B$17*1000*G61</f>
        <v>20.59408267648767</v>
      </c>
      <c r="N61" s="318">
        <f t="shared" ref="N61:N75" si="52">(L61^2+M61^2)^0.5</f>
        <v>32.139871956921908</v>
      </c>
      <c r="O61" s="320">
        <f t="shared" ref="O61:P75" si="53">$B$16*L61/1000</f>
        <v>0.32534411973648264</v>
      </c>
      <c r="P61" s="319">
        <f t="shared" si="53"/>
        <v>0.27153663360159969</v>
      </c>
      <c r="Q61" s="321">
        <f t="shared" ref="Q61:Q75" si="54">N61*$B$16/1000</f>
        <v>0.42376991355545307</v>
      </c>
      <c r="R61" s="320">
        <f t="shared" ref="R61:R75" si="55">2*PI()*F61*$B$19*L61/1000</f>
        <v>17.618491038008404</v>
      </c>
      <c r="S61" s="319">
        <f t="shared" ref="S61:S75" si="56">2*PI()*F61*$B$19*M61/1000</f>
        <v>14.70463258864393</v>
      </c>
      <c r="T61" s="321">
        <f t="shared" ref="T61:T75" si="57">2*PI()*F61*$B$19*N61/1000</f>
        <v>22.948582658268712</v>
      </c>
      <c r="U61" s="322">
        <f t="shared" ref="U61:U75" si="58">$B$21*2*PI()*F61*L61/1000</f>
        <v>197.08969004026625</v>
      </c>
      <c r="V61" s="319">
        <f t="shared" ref="V61:V75" si="59">O61-S61</f>
        <v>-14.379288468907447</v>
      </c>
      <c r="W61" s="319">
        <f t="shared" ref="W61:W75" si="60">P61+R61+U61</f>
        <v>214.97971771187625</v>
      </c>
      <c r="X61" s="323">
        <f t="shared" ref="X61:X75" si="61">(W61^2+V61^2)^0.5</f>
        <v>215.46007278461144</v>
      </c>
      <c r="Y61" s="323">
        <f t="shared" ref="Y61:Y75" si="62">X61*3^0.5</f>
        <v>373.1877930654353</v>
      </c>
    </row>
    <row r="62" spans="4:31">
      <c r="D62" s="326"/>
      <c r="E62" s="314">
        <f t="shared" si="47"/>
        <v>0.88920995555617577</v>
      </c>
      <c r="F62" s="323">
        <f t="shared" ref="F62:F70" si="63">F$71-$H$71/120*$B$3+H62/120*$B$3</f>
        <v>244.67954549545453</v>
      </c>
      <c r="G62" s="316">
        <f t="shared" si="48"/>
        <v>3.2990076697264809E-3</v>
      </c>
      <c r="H62" s="355">
        <f t="shared" ref="H62:H70" si="64">H61+($H$71-$H$60)/11</f>
        <v>16.090909909090911</v>
      </c>
      <c r="I62" s="318">
        <f t="shared" si="45"/>
        <v>4877.5</v>
      </c>
      <c r="J62" s="319">
        <f t="shared" si="49"/>
        <v>24.352955618775788</v>
      </c>
      <c r="K62" s="318">
        <f t="shared" si="50"/>
        <v>47.678851037938038</v>
      </c>
      <c r="L62" s="356">
        <f t="shared" si="46"/>
        <v>24.674989931534437</v>
      </c>
      <c r="M62" s="318">
        <f t="shared" si="51"/>
        <v>41.255990938722327</v>
      </c>
      <c r="N62" s="318">
        <f t="shared" si="52"/>
        <v>48.071945211914034</v>
      </c>
      <c r="O62" s="320">
        <f t="shared" si="53"/>
        <v>0.32534411973648264</v>
      </c>
      <c r="P62" s="319">
        <f t="shared" si="53"/>
        <v>0.54396755958393361</v>
      </c>
      <c r="Q62" s="321">
        <f t="shared" si="54"/>
        <v>0.63383712586658036</v>
      </c>
      <c r="R62" s="320">
        <f t="shared" si="55"/>
        <v>17.647504946178238</v>
      </c>
      <c r="S62" s="319">
        <f t="shared" si="56"/>
        <v>29.506204710548847</v>
      </c>
      <c r="T62" s="321">
        <f t="shared" si="57"/>
        <v>34.380961988376647</v>
      </c>
      <c r="U62" s="322">
        <f t="shared" si="58"/>
        <v>197.41425484866627</v>
      </c>
      <c r="V62" s="319">
        <f t="shared" si="59"/>
        <v>-29.180860590812365</v>
      </c>
      <c r="W62" s="319">
        <f t="shared" si="60"/>
        <v>215.60572735442844</v>
      </c>
      <c r="X62" s="323">
        <f t="shared" si="61"/>
        <v>217.57148777551842</v>
      </c>
      <c r="Y62" s="323">
        <f t="shared" si="62"/>
        <v>376.84487110554875</v>
      </c>
    </row>
    <row r="63" spans="4:31">
      <c r="D63" s="338"/>
      <c r="E63" s="314">
        <f t="shared" si="47"/>
        <v>0.90043307477880796</v>
      </c>
      <c r="F63" s="323">
        <f t="shared" si="63"/>
        <v>245.08181821818181</v>
      </c>
      <c r="G63" s="316">
        <f t="shared" si="48"/>
        <v>4.9485114020781894E-3</v>
      </c>
      <c r="H63" s="355">
        <f t="shared" si="64"/>
        <v>24.136364363636368</v>
      </c>
      <c r="I63" s="318">
        <f t="shared" si="45"/>
        <v>4877.5</v>
      </c>
      <c r="J63" s="319">
        <f t="shared" si="49"/>
        <v>36.588992197142801</v>
      </c>
      <c r="K63" s="318">
        <f t="shared" si="50"/>
        <v>71.63488226664559</v>
      </c>
      <c r="L63" s="356">
        <f t="shared" si="46"/>
        <v>24.674989931534437</v>
      </c>
      <c r="M63" s="318">
        <f t="shared" si="51"/>
        <v>61.985727342204868</v>
      </c>
      <c r="N63" s="318">
        <f t="shared" si="52"/>
        <v>66.716456157858758</v>
      </c>
      <c r="O63" s="320">
        <f t="shared" si="53"/>
        <v>0.32534411973648264</v>
      </c>
      <c r="P63" s="319">
        <f t="shared" si="53"/>
        <v>0.8172928116417344</v>
      </c>
      <c r="Q63" s="321">
        <f t="shared" si="54"/>
        <v>0.87966831033541182</v>
      </c>
      <c r="R63" s="320">
        <f t="shared" si="55"/>
        <v>17.676518854348068</v>
      </c>
      <c r="S63" s="319">
        <f t="shared" si="56"/>
        <v>44.404957453079959</v>
      </c>
      <c r="T63" s="321">
        <f t="shared" si="57"/>
        <v>47.793928120818492</v>
      </c>
      <c r="U63" s="322">
        <f t="shared" si="58"/>
        <v>197.73881965706636</v>
      </c>
      <c r="V63" s="319">
        <f t="shared" si="59"/>
        <v>-44.079613333343474</v>
      </c>
      <c r="W63" s="319">
        <f t="shared" si="60"/>
        <v>216.23263132305615</v>
      </c>
      <c r="X63" s="323">
        <f t="shared" si="61"/>
        <v>220.67977515057831</v>
      </c>
      <c r="Y63" s="323">
        <f t="shared" si="62"/>
        <v>382.22858276367742</v>
      </c>
    </row>
    <row r="64" spans="4:31">
      <c r="D64" s="338"/>
      <c r="E64" s="314">
        <f t="shared" si="47"/>
        <v>0.91559079451717462</v>
      </c>
      <c r="F64" s="323">
        <f t="shared" si="63"/>
        <v>245.48409094090908</v>
      </c>
      <c r="G64" s="316">
        <f t="shared" si="48"/>
        <v>6.5980151344298974E-3</v>
      </c>
      <c r="H64" s="355">
        <f t="shared" si="64"/>
        <v>32.181818818181824</v>
      </c>
      <c r="I64" s="318">
        <f t="shared" si="45"/>
        <v>4877.5</v>
      </c>
      <c r="J64" s="319">
        <f t="shared" si="49"/>
        <v>48.864467026970345</v>
      </c>
      <c r="K64" s="318">
        <f t="shared" si="50"/>
        <v>95.668126731644435</v>
      </c>
      <c r="L64" s="356">
        <f t="shared" si="46"/>
        <v>24.674989931534437</v>
      </c>
      <c r="M64" s="318">
        <f t="shared" si="51"/>
        <v>82.783291886935274</v>
      </c>
      <c r="N64" s="318">
        <f t="shared" si="52"/>
        <v>86.382455069063937</v>
      </c>
      <c r="O64" s="320">
        <f t="shared" si="53"/>
        <v>0.32534411973648264</v>
      </c>
      <c r="P64" s="319">
        <f t="shared" si="53"/>
        <v>1.0915123897750019</v>
      </c>
      <c r="Q64" s="321">
        <f t="shared" si="54"/>
        <v>1.1389679948442109</v>
      </c>
      <c r="R64" s="320">
        <f t="shared" si="55"/>
        <v>17.705532762517908</v>
      </c>
      <c r="S64" s="319">
        <f t="shared" si="56"/>
        <v>59.401130081922922</v>
      </c>
      <c r="T64" s="321">
        <f t="shared" si="57"/>
        <v>61.983708709741819</v>
      </c>
      <c r="U64" s="322">
        <f t="shared" si="58"/>
        <v>198.06338446546644</v>
      </c>
      <c r="V64" s="319">
        <f t="shared" si="59"/>
        <v>-59.075785962186437</v>
      </c>
      <c r="W64" s="319">
        <f t="shared" si="60"/>
        <v>216.86042961775934</v>
      </c>
      <c r="X64" s="323">
        <f t="shared" si="61"/>
        <v>224.7629738659133</v>
      </c>
      <c r="Y64" s="323">
        <f t="shared" si="62"/>
        <v>389.30089039603757</v>
      </c>
    </row>
    <row r="65" spans="4:25">
      <c r="D65" s="338"/>
      <c r="E65" s="314">
        <f t="shared" si="47"/>
        <v>0.93453036496252406</v>
      </c>
      <c r="F65" s="323">
        <f t="shared" si="63"/>
        <v>245.88636366363636</v>
      </c>
      <c r="G65" s="316">
        <f t="shared" si="48"/>
        <v>8.2475188667816054E-3</v>
      </c>
      <c r="H65" s="355">
        <f t="shared" si="64"/>
        <v>40.227273272727281</v>
      </c>
      <c r="I65" s="318">
        <f t="shared" si="45"/>
        <v>4877.5</v>
      </c>
      <c r="J65" s="319">
        <f t="shared" si="49"/>
        <v>61.179177401144742</v>
      </c>
      <c r="K65" s="318">
        <f t="shared" si="50"/>
        <v>119.77818756766574</v>
      </c>
      <c r="L65" s="356">
        <f t="shared" si="46"/>
        <v>24.674989931534437</v>
      </c>
      <c r="M65" s="318">
        <f t="shared" si="51"/>
        <v>103.64868457291358</v>
      </c>
      <c r="N65" s="318">
        <f t="shared" si="52"/>
        <v>106.5453187231455</v>
      </c>
      <c r="O65" s="320">
        <f t="shared" si="53"/>
        <v>0.32534411973648264</v>
      </c>
      <c r="P65" s="319">
        <f t="shared" si="53"/>
        <v>1.3666262939837366</v>
      </c>
      <c r="Q65" s="321">
        <f t="shared" si="54"/>
        <v>1.4048189291345803</v>
      </c>
      <c r="R65" s="320">
        <f t="shared" si="55"/>
        <v>17.734546670687745</v>
      </c>
      <c r="S65" s="319">
        <f t="shared" si="56"/>
        <v>74.49496186276339</v>
      </c>
      <c r="T65" s="321">
        <f t="shared" si="57"/>
        <v>76.576846948339252</v>
      </c>
      <c r="U65" s="322">
        <f t="shared" si="58"/>
        <v>198.38794927386652</v>
      </c>
      <c r="V65" s="319">
        <f t="shared" si="59"/>
        <v>-74.169617743026905</v>
      </c>
      <c r="W65" s="319">
        <f t="shared" si="60"/>
        <v>217.48912223853802</v>
      </c>
      <c r="X65" s="323">
        <f t="shared" si="61"/>
        <v>229.78827317388601</v>
      </c>
      <c r="Y65" s="323">
        <f t="shared" si="62"/>
        <v>398.00496412068702</v>
      </c>
    </row>
    <row r="66" spans="4:25">
      <c r="D66" s="338"/>
      <c r="E66" s="314">
        <f t="shared" si="47"/>
        <v>0.95706518771116533</v>
      </c>
      <c r="F66" s="323">
        <f t="shared" si="63"/>
        <v>246.28863638636363</v>
      </c>
      <c r="G66" s="316">
        <f t="shared" si="48"/>
        <v>9.8970225991333143E-3</v>
      </c>
      <c r="H66" s="355">
        <f t="shared" si="64"/>
        <v>48.272727727272738</v>
      </c>
      <c r="I66" s="318">
        <f t="shared" si="45"/>
        <v>4877.5</v>
      </c>
      <c r="J66" s="319">
        <f t="shared" si="49"/>
        <v>73.532919305276707</v>
      </c>
      <c r="K66" s="318">
        <f t="shared" si="50"/>
        <v>143.9646653500225</v>
      </c>
      <c r="L66" s="356">
        <f t="shared" si="46"/>
        <v>24.674989931534437</v>
      </c>
      <c r="M66" s="318">
        <f t="shared" si="51"/>
        <v>124.58190540013973</v>
      </c>
      <c r="N66" s="318">
        <f t="shared" si="52"/>
        <v>127.00199321762904</v>
      </c>
      <c r="O66" s="320">
        <f t="shared" si="53"/>
        <v>0.32534411973648264</v>
      </c>
      <c r="P66" s="319">
        <f t="shared" si="53"/>
        <v>1.6426345242679374</v>
      </c>
      <c r="Q66" s="321">
        <f t="shared" si="54"/>
        <v>1.6745438114794311</v>
      </c>
      <c r="R66" s="320">
        <f t="shared" si="55"/>
        <v>17.763560578857579</v>
      </c>
      <c r="S66" s="319">
        <f t="shared" si="56"/>
        <v>89.686692061287005</v>
      </c>
      <c r="T66" s="321">
        <f t="shared" si="57"/>
        <v>91.428916745933634</v>
      </c>
      <c r="U66" s="322">
        <f t="shared" si="58"/>
        <v>198.71251408226658</v>
      </c>
      <c r="V66" s="319">
        <f t="shared" si="59"/>
        <v>-89.36134794155052</v>
      </c>
      <c r="W66" s="319">
        <f t="shared" si="60"/>
        <v>218.11870918539211</v>
      </c>
      <c r="X66" s="323">
        <f t="shared" si="61"/>
        <v>235.71428001424206</v>
      </c>
      <c r="Y66" s="323">
        <f t="shared" si="62"/>
        <v>408.26910905418441</v>
      </c>
    </row>
    <row r="67" spans="4:25">
      <c r="D67" s="338"/>
      <c r="E67" s="314">
        <f t="shared" si="47"/>
        <v>0.98298504647893392</v>
      </c>
      <c r="F67" s="323">
        <f t="shared" si="63"/>
        <v>246.69090910909091</v>
      </c>
      <c r="G67" s="316">
        <f t="shared" si="48"/>
        <v>1.1546526331485021E-2</v>
      </c>
      <c r="H67" s="355">
        <f t="shared" si="64"/>
        <v>56.318182181818194</v>
      </c>
      <c r="I67" s="318">
        <f t="shared" si="45"/>
        <v>4877.5</v>
      </c>
      <c r="J67" s="319">
        <f t="shared" si="49"/>
        <v>85.925487417701433</v>
      </c>
      <c r="K67" s="318">
        <f t="shared" si="50"/>
        <v>168.22715809460968</v>
      </c>
      <c r="L67" s="356">
        <f t="shared" si="46"/>
        <v>24.674989931534437</v>
      </c>
      <c r="M67" s="318">
        <f t="shared" si="51"/>
        <v>145.5829543686138</v>
      </c>
      <c r="N67" s="318">
        <f t="shared" si="52"/>
        <v>147.65924194176</v>
      </c>
      <c r="O67" s="320">
        <f t="shared" si="53"/>
        <v>0.32534411973648264</v>
      </c>
      <c r="P67" s="319">
        <f t="shared" si="53"/>
        <v>1.9195370806276058</v>
      </c>
      <c r="Q67" s="321">
        <f t="shared" si="54"/>
        <v>1.9469133006252379</v>
      </c>
      <c r="R67" s="320">
        <f t="shared" si="55"/>
        <v>17.792574487027412</v>
      </c>
      <c r="S67" s="319">
        <f t="shared" si="56"/>
        <v>104.97655994317944</v>
      </c>
      <c r="T67" s="321">
        <f t="shared" si="57"/>
        <v>106.47372372740782</v>
      </c>
      <c r="U67" s="322">
        <f t="shared" si="58"/>
        <v>199.03707889066666</v>
      </c>
      <c r="V67" s="319">
        <f t="shared" si="59"/>
        <v>-104.65121582344295</v>
      </c>
      <c r="W67" s="319">
        <f t="shared" si="60"/>
        <v>218.74919045832169</v>
      </c>
      <c r="X67" s="323">
        <f t="shared" si="61"/>
        <v>242.49347475653019</v>
      </c>
      <c r="Y67" s="323">
        <f t="shared" si="62"/>
        <v>420.01101878223125</v>
      </c>
    </row>
    <row r="68" spans="4:25">
      <c r="D68" s="338"/>
      <c r="E68" s="314">
        <f t="shared" si="47"/>
        <v>1.0120659613989711</v>
      </c>
      <c r="F68" s="323">
        <f t="shared" si="63"/>
        <v>247.09318183181819</v>
      </c>
      <c r="G68" s="316">
        <f t="shared" si="48"/>
        <v>1.319603006383673E-2</v>
      </c>
      <c r="H68" s="355">
        <f t="shared" si="64"/>
        <v>64.363636636363651</v>
      </c>
      <c r="I68" s="318">
        <f t="shared" si="45"/>
        <v>4877.5</v>
      </c>
      <c r="J68" s="319">
        <f t="shared" si="49"/>
        <v>98.35667510947836</v>
      </c>
      <c r="K68" s="318">
        <f t="shared" si="50"/>
        <v>192.56526125790344</v>
      </c>
      <c r="L68" s="356">
        <f t="shared" si="46"/>
        <v>24.674989931534437</v>
      </c>
      <c r="M68" s="318">
        <f t="shared" si="51"/>
        <v>166.65183147833571</v>
      </c>
      <c r="N68" s="318">
        <f t="shared" si="52"/>
        <v>168.46865602599473</v>
      </c>
      <c r="O68" s="320">
        <f t="shared" si="53"/>
        <v>0.32534411973648264</v>
      </c>
      <c r="P68" s="319">
        <f t="shared" si="53"/>
        <v>2.1973339630627406</v>
      </c>
      <c r="Q68" s="321">
        <f t="shared" si="54"/>
        <v>2.2212891170390483</v>
      </c>
      <c r="R68" s="320">
        <f t="shared" si="55"/>
        <v>17.821588395197246</v>
      </c>
      <c r="S68" s="319">
        <f t="shared" si="56"/>
        <v>120.36480477412631</v>
      </c>
      <c r="T68" s="321">
        <f t="shared" si="57"/>
        <v>121.67701196709825</v>
      </c>
      <c r="U68" s="322">
        <f t="shared" si="58"/>
        <v>199.36164369906675</v>
      </c>
      <c r="V68" s="319">
        <f t="shared" si="59"/>
        <v>-120.03946065438983</v>
      </c>
      <c r="W68" s="319">
        <f t="shared" si="60"/>
        <v>219.38056605732675</v>
      </c>
      <c r="X68" s="323">
        <f t="shared" si="61"/>
        <v>250.07459862574987</v>
      </c>
      <c r="Y68" s="323">
        <f t="shared" si="62"/>
        <v>433.1419105021929</v>
      </c>
    </row>
    <row r="69" spans="4:25">
      <c r="D69" s="338"/>
      <c r="E69" s="314">
        <f t="shared" si="47"/>
        <v>1.0440789042050094</v>
      </c>
      <c r="F69" s="323">
        <f t="shared" si="63"/>
        <v>247.49545455454546</v>
      </c>
      <c r="G69" s="316">
        <f t="shared" si="48"/>
        <v>1.4845533796188437E-2</v>
      </c>
      <c r="H69" s="355">
        <f t="shared" si="64"/>
        <v>72.409091090909101</v>
      </c>
      <c r="I69" s="318">
        <f t="shared" si="45"/>
        <v>4877.5</v>
      </c>
      <c r="J69" s="319">
        <f t="shared" si="49"/>
        <v>110.82627444439159</v>
      </c>
      <c r="K69" s="318">
        <f t="shared" si="50"/>
        <v>216.97856773696262</v>
      </c>
      <c r="L69" s="356">
        <f t="shared" si="46"/>
        <v>24.674989931534437</v>
      </c>
      <c r="M69" s="318">
        <f t="shared" si="51"/>
        <v>187.78853672930549</v>
      </c>
      <c r="N69" s="318">
        <f t="shared" si="52"/>
        <v>189.40271818285777</v>
      </c>
      <c r="O69" s="320">
        <f t="shared" si="53"/>
        <v>0.32534411973648264</v>
      </c>
      <c r="P69" s="319">
        <f t="shared" si="53"/>
        <v>2.4760251715733421</v>
      </c>
      <c r="Q69" s="321">
        <f t="shared" si="54"/>
        <v>2.4973084404037684</v>
      </c>
      <c r="R69" s="320">
        <f t="shared" si="55"/>
        <v>17.850602303367086</v>
      </c>
      <c r="S69" s="319">
        <f t="shared" si="56"/>
        <v>135.85166581981332</v>
      </c>
      <c r="T69" s="321">
        <f t="shared" si="57"/>
        <v>137.01941142995474</v>
      </c>
      <c r="U69" s="322">
        <f t="shared" si="58"/>
        <v>199.6862085074668</v>
      </c>
      <c r="V69" s="319">
        <f t="shared" si="59"/>
        <v>-135.52632170007683</v>
      </c>
      <c r="W69" s="319">
        <f t="shared" si="60"/>
        <v>220.01283598240724</v>
      </c>
      <c r="X69" s="323">
        <f t="shared" si="61"/>
        <v>258.4047829870305</v>
      </c>
      <c r="Y69" s="323">
        <f t="shared" si="62"/>
        <v>447.57021305234662</v>
      </c>
    </row>
    <row r="70" spans="4:25">
      <c r="E70" s="314">
        <f t="shared" si="47"/>
        <v>1.0787969411391987</v>
      </c>
      <c r="F70" s="323">
        <f t="shared" si="63"/>
        <v>247.89772727727274</v>
      </c>
      <c r="G70" s="316">
        <f t="shared" si="48"/>
        <v>1.6495037528540143E-2</v>
      </c>
      <c r="H70" s="355">
        <f t="shared" si="64"/>
        <v>80.45454554545455</v>
      </c>
      <c r="I70" s="318">
        <f>I71</f>
        <v>4877.5</v>
      </c>
      <c r="J70" s="319">
        <f t="shared" si="49"/>
        <v>123.33407617894952</v>
      </c>
      <c r="K70" s="318">
        <f t="shared" si="50"/>
        <v>241.46666786942731</v>
      </c>
      <c r="L70" s="356">
        <f>L71</f>
        <v>24.674989931534437</v>
      </c>
      <c r="M70" s="318">
        <f t="shared" si="51"/>
        <v>208.99307012152315</v>
      </c>
      <c r="N70" s="318">
        <f t="shared" si="52"/>
        <v>210.44466846879544</v>
      </c>
      <c r="O70" s="320">
        <f t="shared" si="53"/>
        <v>0.32534411973648264</v>
      </c>
      <c r="P70" s="319">
        <f t="shared" si="53"/>
        <v>2.7556107061594104</v>
      </c>
      <c r="Q70" s="321">
        <f t="shared" si="54"/>
        <v>2.7747502878903303</v>
      </c>
      <c r="R70" s="320">
        <f t="shared" si="55"/>
        <v>17.87961621153692</v>
      </c>
      <c r="S70" s="319">
        <f t="shared" si="56"/>
        <v>151.4373823459261</v>
      </c>
      <c r="T70" s="321">
        <f t="shared" si="57"/>
        <v>152.48921747998469</v>
      </c>
      <c r="U70" s="322">
        <f t="shared" si="58"/>
        <v>200.01077331586689</v>
      </c>
      <c r="V70" s="319">
        <f t="shared" si="59"/>
        <v>-151.11203822618961</v>
      </c>
      <c r="W70" s="319">
        <f t="shared" si="60"/>
        <v>220.6460002335632</v>
      </c>
      <c r="X70" s="323">
        <f t="shared" si="61"/>
        <v>267.43130990208113</v>
      </c>
      <c r="Y70" s="323">
        <f t="shared" si="62"/>
        <v>463.2046162851023</v>
      </c>
    </row>
    <row r="71" spans="4:25">
      <c r="D71" s="326" t="s">
        <v>207</v>
      </c>
      <c r="E71" s="327">
        <f t="shared" si="47"/>
        <v>1.1160006661037507</v>
      </c>
      <c r="F71" s="336">
        <f>F49</f>
        <v>248.3</v>
      </c>
      <c r="G71" s="329">
        <f t="shared" si="48"/>
        <v>1.814454126089185E-2</v>
      </c>
      <c r="H71" s="357">
        <f>H49</f>
        <v>88.5</v>
      </c>
      <c r="I71" s="331">
        <f>F71*120/$B$3-H71</f>
        <v>4877.5</v>
      </c>
      <c r="J71" s="332">
        <f t="shared" si="49"/>
        <v>135.87986976238483</v>
      </c>
      <c r="K71" s="331">
        <f t="shared" si="50"/>
        <v>266.02914943351931</v>
      </c>
      <c r="L71" s="358">
        <f>L49</f>
        <v>24.674989931534437</v>
      </c>
      <c r="M71" s="331">
        <f t="shared" si="51"/>
        <v>230.26543165498862</v>
      </c>
      <c r="N71" s="331">
        <f t="shared" si="52"/>
        <v>231.58373030802392</v>
      </c>
      <c r="O71" s="333">
        <f t="shared" si="53"/>
        <v>0.32534411973648264</v>
      </c>
      <c r="P71" s="332">
        <f t="shared" si="53"/>
        <v>3.0360905668209441</v>
      </c>
      <c r="Q71" s="334">
        <f t="shared" si="54"/>
        <v>3.0534725684351951</v>
      </c>
      <c r="R71" s="333">
        <f t="shared" si="55"/>
        <v>17.908630119706753</v>
      </c>
      <c r="S71" s="332">
        <f t="shared" si="56"/>
        <v>167.12219361815025</v>
      </c>
      <c r="T71" s="334">
        <f t="shared" si="57"/>
        <v>168.07898926548486</v>
      </c>
      <c r="U71" s="335">
        <f t="shared" si="58"/>
        <v>200.33533812426694</v>
      </c>
      <c r="V71" s="332">
        <f t="shared" si="59"/>
        <v>-166.79684949841376</v>
      </c>
      <c r="W71" s="332">
        <f t="shared" si="60"/>
        <v>221.28005881079463</v>
      </c>
      <c r="X71" s="336">
        <f t="shared" si="61"/>
        <v>277.10296539356131</v>
      </c>
      <c r="Y71" s="336">
        <f t="shared" si="62"/>
        <v>479.95641498964847</v>
      </c>
    </row>
    <row r="72" spans="4:25">
      <c r="E72" s="327">
        <f t="shared" si="47"/>
        <v>1.1160456611201366</v>
      </c>
      <c r="F72" s="336">
        <f>F71</f>
        <v>248.3</v>
      </c>
      <c r="G72" s="329">
        <f t="shared" si="48"/>
        <v>1.9169656586365966E-2</v>
      </c>
      <c r="H72" s="357">
        <f>H71+5</f>
        <v>93.5</v>
      </c>
      <c r="I72" s="331">
        <f>I71</f>
        <v>4877.5</v>
      </c>
      <c r="J72" s="332">
        <f t="shared" si="49"/>
        <v>137.48321761741977</v>
      </c>
      <c r="K72" s="331">
        <f t="shared" si="50"/>
        <v>269.16822564007515</v>
      </c>
      <c r="L72" s="359">
        <v>24.16</v>
      </c>
      <c r="M72" s="331">
        <f t="shared" si="51"/>
        <v>238.19740776505662</v>
      </c>
      <c r="N72" s="331">
        <f t="shared" si="52"/>
        <v>239.41952858109269</v>
      </c>
      <c r="O72" s="333">
        <f t="shared" si="53"/>
        <v>0.31855388612694036</v>
      </c>
      <c r="P72" s="332">
        <f t="shared" si="53"/>
        <v>3.1406750790116815</v>
      </c>
      <c r="Q72" s="334">
        <f t="shared" si="54"/>
        <v>3.1567889587825806</v>
      </c>
      <c r="R72" s="333">
        <f t="shared" si="55"/>
        <v>17.534860394782299</v>
      </c>
      <c r="S72" s="332">
        <f t="shared" si="56"/>
        <v>172.87906835924261</v>
      </c>
      <c r="T72" s="334">
        <f t="shared" si="57"/>
        <v>173.76605999395906</v>
      </c>
      <c r="U72" s="335">
        <f t="shared" si="58"/>
        <v>196.15415376103877</v>
      </c>
      <c r="V72" s="332">
        <f t="shared" si="59"/>
        <v>-172.56051447311566</v>
      </c>
      <c r="W72" s="332">
        <f t="shared" si="60"/>
        <v>216.82968923483276</v>
      </c>
      <c r="X72" s="336">
        <f t="shared" si="61"/>
        <v>277.11413765612991</v>
      </c>
      <c r="Y72" s="336">
        <f t="shared" si="62"/>
        <v>479.97576591605281</v>
      </c>
    </row>
    <row r="73" spans="4:25">
      <c r="E73" s="327">
        <f t="shared" si="47"/>
        <v>1.1160543492587562</v>
      </c>
      <c r="F73" s="336">
        <f>F72</f>
        <v>248.3</v>
      </c>
      <c r="G73" s="329">
        <f t="shared" si="48"/>
        <v>2.0194771911840083E-2</v>
      </c>
      <c r="H73" s="357">
        <f>H72+5</f>
        <v>98.5</v>
      </c>
      <c r="I73" s="331">
        <f>I72</f>
        <v>4877.5</v>
      </c>
      <c r="J73" s="332">
        <f t="shared" si="49"/>
        <v>138.640015130113</v>
      </c>
      <c r="K73" s="331">
        <f t="shared" si="50"/>
        <v>271.43303395131903</v>
      </c>
      <c r="L73" s="359">
        <v>23.65</v>
      </c>
      <c r="M73" s="331">
        <f t="shared" si="51"/>
        <v>245.63817700352973</v>
      </c>
      <c r="N73" s="331">
        <f t="shared" si="52"/>
        <v>246.77405962057156</v>
      </c>
      <c r="O73" s="333">
        <f t="shared" si="53"/>
        <v>0.31182944564992299</v>
      </c>
      <c r="P73" s="332">
        <f t="shared" si="53"/>
        <v>3.2387829414574352</v>
      </c>
      <c r="Q73" s="334">
        <f t="shared" si="54"/>
        <v>3.253759755275428</v>
      </c>
      <c r="R73" s="333">
        <f t="shared" si="55"/>
        <v>17.164712265587806</v>
      </c>
      <c r="S73" s="332">
        <f t="shared" si="56"/>
        <v>178.27943466000488</v>
      </c>
      <c r="T73" s="334">
        <f t="shared" si="57"/>
        <v>179.10383627899031</v>
      </c>
      <c r="U73" s="335">
        <f t="shared" si="58"/>
        <v>192.01348246889762</v>
      </c>
      <c r="V73" s="332">
        <f t="shared" si="59"/>
        <v>-177.96760521435496</v>
      </c>
      <c r="W73" s="332">
        <f t="shared" si="60"/>
        <v>212.41697767594286</v>
      </c>
      <c r="X73" s="336">
        <f t="shared" si="61"/>
        <v>277.1162949209492</v>
      </c>
      <c r="Y73" s="336">
        <f t="shared" si="62"/>
        <v>479.97950240832523</v>
      </c>
    </row>
    <row r="74" spans="4:25">
      <c r="E74" s="314">
        <f t="shared" si="47"/>
        <v>1.1302269749499445</v>
      </c>
      <c r="F74" s="323">
        <f>F73</f>
        <v>248.3</v>
      </c>
      <c r="G74" s="316">
        <f t="shared" si="48"/>
        <v>2.2245002562788312E-2</v>
      </c>
      <c r="H74" s="355">
        <f>H73+10</f>
        <v>108.5</v>
      </c>
      <c r="I74" s="318">
        <f>I73</f>
        <v>4877.5</v>
      </c>
      <c r="J74" s="319">
        <f t="shared" si="49"/>
        <v>143.38900966115568</v>
      </c>
      <c r="K74" s="318">
        <f t="shared" si="50"/>
        <v>280.73073918143888</v>
      </c>
      <c r="L74" s="360">
        <f>L73*0.97</f>
        <v>22.940499999999997</v>
      </c>
      <c r="M74" s="318">
        <f t="shared" si="51"/>
        <v>262.45878110392368</v>
      </c>
      <c r="N74" s="318">
        <f t="shared" si="52"/>
        <v>263.45944340411739</v>
      </c>
      <c r="O74" s="320">
        <f t="shared" si="53"/>
        <v>0.3024745622804253</v>
      </c>
      <c r="P74" s="319">
        <f t="shared" si="53"/>
        <v>3.4605655905958144</v>
      </c>
      <c r="Q74" s="321">
        <f t="shared" si="54"/>
        <v>3.4737595005472808</v>
      </c>
      <c r="R74" s="320">
        <f t="shared" si="55"/>
        <v>16.649770897620169</v>
      </c>
      <c r="S74" s="319">
        <f t="shared" si="56"/>
        <v>190.48750356134221</v>
      </c>
      <c r="T74" s="321">
        <f t="shared" si="57"/>
        <v>191.21376489148372</v>
      </c>
      <c r="U74" s="322">
        <f t="shared" si="58"/>
        <v>186.25307799483068</v>
      </c>
      <c r="V74" s="319">
        <f t="shared" si="59"/>
        <v>-190.18502899906179</v>
      </c>
      <c r="W74" s="319">
        <f t="shared" si="60"/>
        <v>206.36341448304665</v>
      </c>
      <c r="X74" s="323">
        <f t="shared" si="61"/>
        <v>280.63535788007124</v>
      </c>
      <c r="Y74" s="323">
        <f t="shared" si="62"/>
        <v>486.07469824855826</v>
      </c>
    </row>
    <row r="75" spans="4:25" ht="15.75" thickBot="1">
      <c r="E75" s="314">
        <f t="shared" si="47"/>
        <v>1.1447908967303686</v>
      </c>
      <c r="F75" s="323">
        <f>F74</f>
        <v>248.3</v>
      </c>
      <c r="G75" s="316">
        <f t="shared" si="48"/>
        <v>2.4295233213736545E-2</v>
      </c>
      <c r="H75" s="318">
        <f>H74+10</f>
        <v>118.5</v>
      </c>
      <c r="I75" s="318">
        <f>I74</f>
        <v>4877.5</v>
      </c>
      <c r="J75" s="319">
        <f t="shared" si="49"/>
        <v>147.04028245434887</v>
      </c>
      <c r="K75" s="318">
        <f t="shared" si="50"/>
        <v>287.87929619155028</v>
      </c>
      <c r="L75" s="360">
        <f>L74*0.97</f>
        <v>22.252284999999997</v>
      </c>
      <c r="M75" s="318">
        <f t="shared" si="51"/>
        <v>278.04907459899084</v>
      </c>
      <c r="N75" s="318">
        <f t="shared" si="52"/>
        <v>278.93807928118457</v>
      </c>
      <c r="O75" s="320">
        <f t="shared" si="53"/>
        <v>0.29340032541201255</v>
      </c>
      <c r="P75" s="319">
        <f t="shared" si="53"/>
        <v>3.6661263761385796</v>
      </c>
      <c r="Q75" s="321">
        <f t="shared" si="54"/>
        <v>3.6778480605879942</v>
      </c>
      <c r="R75" s="320">
        <f t="shared" si="55"/>
        <v>16.150277770691563</v>
      </c>
      <c r="S75" s="319">
        <f t="shared" si="56"/>
        <v>201.80263683740534</v>
      </c>
      <c r="T75" s="321">
        <f t="shared" si="57"/>
        <v>202.44785922948213</v>
      </c>
      <c r="U75" s="361">
        <f t="shared" si="58"/>
        <v>180.66548565498576</v>
      </c>
      <c r="V75" s="319">
        <f t="shared" si="59"/>
        <v>-201.50923651199332</v>
      </c>
      <c r="W75" s="319">
        <f t="shared" si="60"/>
        <v>200.4818898018159</v>
      </c>
      <c r="X75" s="323">
        <f t="shared" si="61"/>
        <v>284.25157965815055</v>
      </c>
      <c r="Y75" s="323">
        <f t="shared" si="62"/>
        <v>492.33817809962869</v>
      </c>
    </row>
    <row r="76" spans="4:25">
      <c r="E76" s="314"/>
      <c r="F76" s="315"/>
      <c r="G76" s="316"/>
      <c r="H76" s="319"/>
      <c r="I76" s="318"/>
      <c r="J76" s="319"/>
      <c r="K76" s="318"/>
      <c r="L76" s="342"/>
      <c r="M76" s="318"/>
      <c r="N76" s="318"/>
      <c r="O76" s="320"/>
      <c r="P76" s="319"/>
      <c r="Q76" s="321"/>
      <c r="R76" s="320"/>
      <c r="S76" s="319"/>
      <c r="T76" s="321"/>
      <c r="U76" s="322"/>
      <c r="V76" s="319"/>
      <c r="W76" s="319"/>
      <c r="X76" s="323"/>
      <c r="Y76" s="323"/>
    </row>
    <row r="77" spans="4:25">
      <c r="E77" s="314"/>
      <c r="F77" s="315"/>
      <c r="G77" s="316"/>
      <c r="H77" s="319"/>
      <c r="I77" s="318"/>
      <c r="J77" s="319"/>
      <c r="K77" s="318"/>
      <c r="L77" s="342"/>
      <c r="M77" s="318"/>
      <c r="N77" s="318"/>
      <c r="O77" s="320"/>
      <c r="P77" s="319"/>
      <c r="Q77" s="321"/>
      <c r="R77" s="320"/>
      <c r="S77" s="319"/>
      <c r="T77" s="321"/>
      <c r="U77" s="322"/>
      <c r="V77" s="319"/>
      <c r="W77" s="319"/>
      <c r="X77" s="323"/>
      <c r="Y77" s="323"/>
    </row>
    <row r="78" spans="4:25">
      <c r="E78" s="314"/>
      <c r="F78" s="315"/>
      <c r="G78" s="316"/>
      <c r="H78" s="319"/>
      <c r="I78" s="318"/>
      <c r="J78" s="319"/>
      <c r="K78" s="318"/>
      <c r="L78" s="342"/>
      <c r="M78" s="318"/>
      <c r="N78" s="318"/>
      <c r="O78" s="320"/>
      <c r="P78" s="319"/>
      <c r="Q78" s="321"/>
      <c r="R78" s="320"/>
      <c r="S78" s="319"/>
      <c r="T78" s="321"/>
      <c r="U78" s="322"/>
      <c r="V78" s="319"/>
      <c r="W78" s="319"/>
      <c r="X78" s="323"/>
      <c r="Y78" s="323"/>
    </row>
    <row r="79" spans="4:25">
      <c r="E79" s="314"/>
      <c r="F79" s="315"/>
      <c r="G79" s="316"/>
      <c r="H79" s="319"/>
      <c r="I79" s="318"/>
      <c r="J79" s="319"/>
      <c r="K79" s="318"/>
      <c r="L79" s="342"/>
      <c r="M79" s="318"/>
      <c r="N79" s="318"/>
      <c r="O79" s="320"/>
      <c r="P79" s="319"/>
      <c r="Q79" s="321"/>
      <c r="R79" s="320"/>
      <c r="S79" s="319"/>
      <c r="T79" s="321"/>
      <c r="U79" s="322"/>
      <c r="V79" s="319"/>
      <c r="W79" s="319"/>
      <c r="X79" s="323"/>
      <c r="Y79" s="323"/>
    </row>
    <row r="80" spans="4:25">
      <c r="E80" s="314"/>
      <c r="F80" s="315"/>
      <c r="G80" s="316"/>
      <c r="H80" s="319"/>
      <c r="I80" s="318"/>
      <c r="J80" s="319"/>
      <c r="K80" s="318"/>
      <c r="L80" s="342"/>
      <c r="M80" s="318"/>
      <c r="N80" s="318"/>
      <c r="O80" s="320"/>
      <c r="P80" s="319"/>
      <c r="Q80" s="321"/>
      <c r="R80" s="320"/>
      <c r="S80" s="319"/>
      <c r="T80" s="321"/>
      <c r="U80" s="322"/>
      <c r="V80" s="319"/>
      <c r="W80" s="319"/>
      <c r="X80" s="323"/>
      <c r="Y80" s="323"/>
    </row>
    <row r="81" spans="5:25">
      <c r="E81" s="314"/>
      <c r="F81" s="315"/>
      <c r="G81" s="316"/>
      <c r="H81" s="319"/>
      <c r="I81" s="318"/>
      <c r="J81" s="319"/>
      <c r="K81" s="318"/>
      <c r="L81" s="342"/>
      <c r="M81" s="318"/>
      <c r="N81" s="318"/>
      <c r="O81" s="320"/>
      <c r="P81" s="319"/>
      <c r="Q81" s="321"/>
      <c r="R81" s="320"/>
      <c r="S81" s="319"/>
      <c r="T81" s="321"/>
      <c r="U81" s="322"/>
      <c r="V81" s="319"/>
      <c r="W81" s="319"/>
      <c r="X81" s="323"/>
      <c r="Y81" s="323"/>
    </row>
    <row r="82" spans="5:25" ht="15.75" thickBot="1">
      <c r="E82" s="300" t="s">
        <v>213</v>
      </c>
    </row>
    <row r="83" spans="5:25">
      <c r="E83" s="309" t="s">
        <v>182</v>
      </c>
      <c r="F83" s="302" t="s">
        <v>183</v>
      </c>
      <c r="G83" s="302" t="s">
        <v>184</v>
      </c>
      <c r="H83" s="302" t="s">
        <v>153</v>
      </c>
      <c r="I83" s="302" t="s">
        <v>79</v>
      </c>
      <c r="J83" s="302" t="s">
        <v>185</v>
      </c>
      <c r="K83" s="302" t="s">
        <v>186</v>
      </c>
      <c r="L83" s="302" t="s">
        <v>187</v>
      </c>
      <c r="M83" s="302" t="s">
        <v>188</v>
      </c>
      <c r="N83" s="302" t="s">
        <v>189</v>
      </c>
      <c r="O83" s="310" t="s">
        <v>190</v>
      </c>
      <c r="P83" s="311" t="s">
        <v>191</v>
      </c>
      <c r="Q83" s="312" t="s">
        <v>192</v>
      </c>
      <c r="R83" s="310" t="s">
        <v>193</v>
      </c>
      <c r="S83" s="311" t="s">
        <v>194</v>
      </c>
      <c r="T83" s="311" t="s">
        <v>195</v>
      </c>
      <c r="U83" s="313" t="s">
        <v>155</v>
      </c>
      <c r="V83" s="302" t="s">
        <v>196</v>
      </c>
      <c r="W83" s="302" t="s">
        <v>197</v>
      </c>
      <c r="X83" s="302" t="s">
        <v>198</v>
      </c>
      <c r="Y83" s="302" t="s">
        <v>199</v>
      </c>
    </row>
    <row r="84" spans="5:25">
      <c r="E84" s="327">
        <f t="shared" ref="E84:E91" si="65">X84/F84</f>
        <v>3.7059498836134099</v>
      </c>
      <c r="F84" s="336">
        <f>F5</f>
        <v>65</v>
      </c>
      <c r="G84" s="329">
        <f>H84/I84</f>
        <v>1.5625E-2</v>
      </c>
      <c r="H84" s="332">
        <f>H5</f>
        <v>20</v>
      </c>
      <c r="I84" s="331">
        <f>F84*120/$B$3-H84</f>
        <v>1280</v>
      </c>
      <c r="J84" s="332">
        <f>J5</f>
        <v>135.85659161999385</v>
      </c>
      <c r="K84" s="331">
        <f>J84/I84*1000*30/PI()</f>
        <v>1013.54288005964</v>
      </c>
      <c r="L84" s="332">
        <f>L5</f>
        <v>101.43541686790246</v>
      </c>
      <c r="M84" s="331">
        <f>M5</f>
        <v>213.38901067050438</v>
      </c>
      <c r="N84" s="331">
        <f>(L84^2+M84^2)^0.5</f>
        <v>236.27105973881308</v>
      </c>
      <c r="O84" s="333">
        <f>$B$16*L84/1000</f>
        <v>1.3374439666463793</v>
      </c>
      <c r="P84" s="362">
        <f>$B$16*M84/1000</f>
        <v>2.8135719621635888</v>
      </c>
      <c r="Q84" s="334">
        <f>N84*$B$16/1000</f>
        <v>3.1152758385401236</v>
      </c>
      <c r="R84" s="333">
        <f>2*PI()*F84*$B$19*L84/1000</f>
        <v>19.27221526933462</v>
      </c>
      <c r="S84" s="332">
        <f>2*PI()*F84*$B$19*M84/1000</f>
        <v>40.542830864567854</v>
      </c>
      <c r="T84" s="332">
        <f>2*PI()*F84*$B$19*N84/1000</f>
        <v>44.89030425270618</v>
      </c>
      <c r="U84" s="335">
        <f>$B$21*2*PI()*F84*L84/1000</f>
        <v>215.58911745780316</v>
      </c>
      <c r="V84" s="332">
        <f>O84-S84</f>
        <v>-39.205386897921471</v>
      </c>
      <c r="W84" s="332">
        <f>P84+R84+U84</f>
        <v>237.67490468930137</v>
      </c>
      <c r="X84" s="336">
        <f>(W84^2+V84^2)^0.5</f>
        <v>240.88674243487165</v>
      </c>
      <c r="Y84" s="336">
        <f>X84*3^0.5</f>
        <v>417.22807676695555</v>
      </c>
    </row>
    <row r="85" spans="5:25">
      <c r="E85" s="314">
        <f t="shared" si="65"/>
        <v>3.0876920532424825</v>
      </c>
      <c r="F85" s="315">
        <f t="shared" ref="F85:F90" si="66">IF(F84*1.2&gt;$F$92,$F$92,F84*1.2)</f>
        <v>78</v>
      </c>
      <c r="G85" s="316">
        <f>H85/I85</f>
        <v>1.5625E-2</v>
      </c>
      <c r="H85" s="319">
        <f>H84*F85/F84</f>
        <v>24</v>
      </c>
      <c r="I85" s="318">
        <f t="shared" ref="I85:I92" si="67">F85*120/$B$3-H85</f>
        <v>1536</v>
      </c>
      <c r="J85" s="319">
        <f t="shared" ref="J85:J91" si="68">J84</f>
        <v>135.85659161999385</v>
      </c>
      <c r="K85" s="318">
        <f>J85/I85*1000*30/PI()</f>
        <v>844.61906671636666</v>
      </c>
      <c r="L85" s="342">
        <f t="shared" ref="L85:L90" si="69">L84*F84/F85/1.053</f>
        <v>80.274942124012711</v>
      </c>
      <c r="M85" s="318">
        <f>M84*J85/J84</f>
        <v>213.38901067050438</v>
      </c>
      <c r="N85" s="318">
        <f>(L85^2+M85^2)^0.5</f>
        <v>227.98889492242867</v>
      </c>
      <c r="O85" s="320">
        <f>$B$16*L85/1000</f>
        <v>1.0584393531547795</v>
      </c>
      <c r="P85" s="319">
        <f>$B$16*M85/1000</f>
        <v>2.8135719621635888</v>
      </c>
      <c r="Q85" s="321">
        <f>N85*$B$16/1000</f>
        <v>3.0060740261310563</v>
      </c>
      <c r="R85" s="320">
        <f>2*PI()*F85*$B$19*L85/1000</f>
        <v>18.302198736310181</v>
      </c>
      <c r="S85" s="319">
        <f>2*PI()*F85*$B$19*M85/1000</f>
        <v>48.651397037481424</v>
      </c>
      <c r="T85" s="319">
        <f>2*PI()*F85*$B$19*N85/1000</f>
        <v>51.980081880293824</v>
      </c>
      <c r="U85" s="322">
        <f>$B$21*1.05*2*PI()*F85*L85/1000</f>
        <v>214.97490344795185</v>
      </c>
      <c r="V85" s="319">
        <f>O85-S85</f>
        <v>-47.592957684326642</v>
      </c>
      <c r="W85" s="319">
        <f>P85+R85+U85</f>
        <v>236.09067414642561</v>
      </c>
      <c r="X85" s="323">
        <f>(W85^2+V85^2)^0.5</f>
        <v>240.83998015291363</v>
      </c>
      <c r="Y85" s="323">
        <f>X85*3^0.5</f>
        <v>417.14708211872642</v>
      </c>
    </row>
    <row r="86" spans="5:25">
      <c r="E86" s="314">
        <f t="shared" si="65"/>
        <v>2.4744825193191544</v>
      </c>
      <c r="F86" s="315">
        <f t="shared" si="66"/>
        <v>93.6</v>
      </c>
      <c r="G86" s="316">
        <f t="shared" ref="G86:G91" si="70">H86/I86</f>
        <v>1.5624999999999997E-2</v>
      </c>
      <c r="H86" s="319">
        <f t="shared" ref="H86:H91" si="71">H85*F86/F85</f>
        <v>28.799999999999994</v>
      </c>
      <c r="I86" s="318">
        <f t="shared" si="67"/>
        <v>1843.2</v>
      </c>
      <c r="J86" s="319">
        <f t="shared" si="68"/>
        <v>135.85659161999385</v>
      </c>
      <c r="K86" s="318">
        <f t="shared" ref="K86:K91" si="72">J86/I86*1000*30/PI()</f>
        <v>703.84922226363904</v>
      </c>
      <c r="L86" s="342">
        <f t="shared" si="69"/>
        <v>63.528760781903067</v>
      </c>
      <c r="M86" s="318">
        <f t="shared" ref="M86:M91" si="73">M85*J86/J85</f>
        <v>213.38901067050438</v>
      </c>
      <c r="N86" s="318">
        <f t="shared" ref="N86:N91" si="74">(L86^2+M86^2)^0.5</f>
        <v>222.64494901394212</v>
      </c>
      <c r="O86" s="320">
        <f t="shared" ref="O86:P91" si="75">$B$16*L86/1000</f>
        <v>0.83763798128741651</v>
      </c>
      <c r="P86" s="319">
        <f t="shared" si="75"/>
        <v>2.8135719621635888</v>
      </c>
      <c r="Q86" s="321">
        <f t="shared" ref="Q86:Q91" si="76">N86*$B$16/1000</f>
        <v>2.9356131512800396</v>
      </c>
      <c r="R86" s="320">
        <f t="shared" ref="R86:R91" si="77">2*PI()*F86*$B$19*L86/1000</f>
        <v>17.381005447588013</v>
      </c>
      <c r="S86" s="319">
        <f t="shared" ref="S86:S91" si="78">2*PI()*F86*$B$19*M86/1000</f>
        <v>58.381676444977707</v>
      </c>
      <c r="T86" s="319">
        <f t="shared" ref="T86:T91" si="79">2*PI()*F86*$B$19*N86/1000</f>
        <v>60.914033644925766</v>
      </c>
      <c r="U86" s="322">
        <f t="shared" ref="U86:U91" si="80">$B$21*1.05*2*PI()*F86*L86/1000</f>
        <v>204.15470412910909</v>
      </c>
      <c r="V86" s="319">
        <f t="shared" ref="V86:V91" si="81">O86-S86</f>
        <v>-57.544038463690292</v>
      </c>
      <c r="W86" s="319">
        <f t="shared" ref="W86:W91" si="82">P86+R86+U86</f>
        <v>224.34928153886068</v>
      </c>
      <c r="X86" s="323">
        <f t="shared" ref="X86:X91" si="83">(W86^2+V86^2)^0.5</f>
        <v>231.61156380827285</v>
      </c>
      <c r="Y86" s="323">
        <f t="shared" ref="Y86:Y91" si="84">X86*3^0.5</f>
        <v>401.1629961364095</v>
      </c>
    </row>
    <row r="87" spans="5:25">
      <c r="E87" s="314">
        <f t="shared" si="65"/>
        <v>1.9961579949602439</v>
      </c>
      <c r="F87" s="315">
        <f t="shared" si="66"/>
        <v>112.32</v>
      </c>
      <c r="G87" s="316">
        <f t="shared" si="70"/>
        <v>1.5624999999999993E-2</v>
      </c>
      <c r="H87" s="319">
        <f t="shared" si="71"/>
        <v>34.559999999999988</v>
      </c>
      <c r="I87" s="318">
        <f t="shared" si="67"/>
        <v>2211.84</v>
      </c>
      <c r="J87" s="319">
        <f t="shared" si="68"/>
        <v>135.85659161999385</v>
      </c>
      <c r="K87" s="318">
        <f t="shared" si="72"/>
        <v>586.54101855303236</v>
      </c>
      <c r="L87" s="342">
        <f t="shared" si="69"/>
        <v>50.276005683683977</v>
      </c>
      <c r="M87" s="318">
        <f t="shared" si="73"/>
        <v>213.38901067050438</v>
      </c>
      <c r="N87" s="318">
        <f t="shared" si="74"/>
        <v>219.23171901538896</v>
      </c>
      <c r="O87" s="320">
        <f t="shared" si="75"/>
        <v>0.66289805420023484</v>
      </c>
      <c r="P87" s="319">
        <f t="shared" si="75"/>
        <v>2.8135719621635888</v>
      </c>
      <c r="Q87" s="321">
        <f t="shared" si="76"/>
        <v>2.8906091082219203</v>
      </c>
      <c r="R87" s="320">
        <f t="shared" si="77"/>
        <v>16.506178012904101</v>
      </c>
      <c r="S87" s="319">
        <f t="shared" si="78"/>
        <v>70.05801173397326</v>
      </c>
      <c r="T87" s="319">
        <f t="shared" si="79"/>
        <v>71.976238584071709</v>
      </c>
      <c r="U87" s="322">
        <f t="shared" si="80"/>
        <v>193.87911123372186</v>
      </c>
      <c r="V87" s="319">
        <f t="shared" si="81"/>
        <v>-69.395113679773019</v>
      </c>
      <c r="W87" s="319">
        <f t="shared" si="82"/>
        <v>213.19886120878954</v>
      </c>
      <c r="X87" s="323">
        <f t="shared" si="83"/>
        <v>224.2084659939346</v>
      </c>
      <c r="Y87" s="323">
        <f t="shared" si="84"/>
        <v>388.34045458857355</v>
      </c>
    </row>
    <row r="88" spans="5:25">
      <c r="E88" s="314">
        <f t="shared" si="65"/>
        <v>1.6259978435649758</v>
      </c>
      <c r="F88" s="315">
        <f t="shared" si="66"/>
        <v>134.78399999999999</v>
      </c>
      <c r="G88" s="316">
        <f t="shared" si="70"/>
        <v>1.5624999999999997E-2</v>
      </c>
      <c r="H88" s="319">
        <f t="shared" si="71"/>
        <v>41.471999999999987</v>
      </c>
      <c r="I88" s="318">
        <f t="shared" si="67"/>
        <v>2654.2079999999996</v>
      </c>
      <c r="J88" s="319">
        <f t="shared" si="68"/>
        <v>135.85659161999385</v>
      </c>
      <c r="K88" s="318">
        <f t="shared" si="72"/>
        <v>488.78418212752706</v>
      </c>
      <c r="L88" s="342">
        <f t="shared" si="69"/>
        <v>39.787912063694193</v>
      </c>
      <c r="M88" s="318">
        <f t="shared" si="73"/>
        <v>213.38901067050438</v>
      </c>
      <c r="N88" s="318">
        <f t="shared" si="74"/>
        <v>217.06668980137164</v>
      </c>
      <c r="O88" s="320">
        <f t="shared" si="75"/>
        <v>0.5246106791708095</v>
      </c>
      <c r="P88" s="319">
        <f t="shared" si="75"/>
        <v>2.8135719621635888</v>
      </c>
      <c r="Q88" s="321">
        <f t="shared" si="76"/>
        <v>2.8620628139461104</v>
      </c>
      <c r="R88" s="320">
        <f t="shared" si="77"/>
        <v>15.67538272830399</v>
      </c>
      <c r="S88" s="319">
        <f t="shared" si="78"/>
        <v>84.069614080767892</v>
      </c>
      <c r="T88" s="319">
        <f t="shared" si="79"/>
        <v>85.518522177175498</v>
      </c>
      <c r="U88" s="322">
        <f t="shared" si="80"/>
        <v>184.12071342233796</v>
      </c>
      <c r="V88" s="319">
        <f t="shared" si="81"/>
        <v>-83.545003401597086</v>
      </c>
      <c r="W88" s="319">
        <f t="shared" si="82"/>
        <v>202.60966811280554</v>
      </c>
      <c r="X88" s="323">
        <f t="shared" si="83"/>
        <v>219.15849334706169</v>
      </c>
      <c r="Y88" s="323">
        <f t="shared" si="84"/>
        <v>379.59364538735662</v>
      </c>
    </row>
    <row r="89" spans="5:25">
      <c r="E89" s="314">
        <f t="shared" si="65"/>
        <v>1.3428165642199679</v>
      </c>
      <c r="F89" s="315">
        <f t="shared" si="66"/>
        <v>161.74079999999998</v>
      </c>
      <c r="G89" s="316">
        <f t="shared" si="70"/>
        <v>1.5624999999999998E-2</v>
      </c>
      <c r="H89" s="319">
        <f t="shared" si="71"/>
        <v>49.766399999999983</v>
      </c>
      <c r="I89" s="318">
        <f t="shared" si="67"/>
        <v>3185.0495999999994</v>
      </c>
      <c r="J89" s="319">
        <f t="shared" si="68"/>
        <v>135.85659161999385</v>
      </c>
      <c r="K89" s="318">
        <f t="shared" si="72"/>
        <v>407.32015177293925</v>
      </c>
      <c r="L89" s="342">
        <f t="shared" si="69"/>
        <v>31.487743007038773</v>
      </c>
      <c r="M89" s="318">
        <f t="shared" si="73"/>
        <v>213.38901067050438</v>
      </c>
      <c r="N89" s="318">
        <f t="shared" si="74"/>
        <v>215.69967045550615</v>
      </c>
      <c r="O89" s="320">
        <f t="shared" si="75"/>
        <v>0.41517147765970991</v>
      </c>
      <c r="P89" s="319">
        <f t="shared" si="75"/>
        <v>2.8135719621635888</v>
      </c>
      <c r="Q89" s="321">
        <f t="shared" si="76"/>
        <v>2.8440384213535541</v>
      </c>
      <c r="R89" s="320">
        <f t="shared" si="77"/>
        <v>14.886403350716041</v>
      </c>
      <c r="S89" s="319">
        <f t="shared" si="78"/>
        <v>100.88353689692147</v>
      </c>
      <c r="T89" s="319">
        <f t="shared" si="79"/>
        <v>101.97594334720678</v>
      </c>
      <c r="U89" s="322">
        <f t="shared" si="80"/>
        <v>174.85347903355932</v>
      </c>
      <c r="V89" s="319">
        <f t="shared" si="81"/>
        <v>-100.46836541926176</v>
      </c>
      <c r="W89" s="319">
        <f t="shared" si="82"/>
        <v>192.55345434643897</v>
      </c>
      <c r="X89" s="323">
        <f t="shared" si="83"/>
        <v>217.18822535018896</v>
      </c>
      <c r="Y89" s="323">
        <f t="shared" si="84"/>
        <v>376.18104111224608</v>
      </c>
    </row>
    <row r="90" spans="5:25">
      <c r="E90" s="314">
        <f t="shared" si="65"/>
        <v>1.1295875056352711</v>
      </c>
      <c r="F90" s="315">
        <f t="shared" si="66"/>
        <v>194.08895999999996</v>
      </c>
      <c r="G90" s="316">
        <f t="shared" si="70"/>
        <v>1.5624999999999998E-2</v>
      </c>
      <c r="H90" s="319">
        <f t="shared" si="71"/>
        <v>59.719679999999975</v>
      </c>
      <c r="I90" s="318">
        <f t="shared" si="67"/>
        <v>3822.0595199999989</v>
      </c>
      <c r="J90" s="319">
        <f t="shared" si="68"/>
        <v>135.85659161999385</v>
      </c>
      <c r="K90" s="318">
        <f t="shared" si="72"/>
        <v>339.43345981078278</v>
      </c>
      <c r="L90" s="342">
        <f t="shared" si="69"/>
        <v>24.919074871034169</v>
      </c>
      <c r="M90" s="318">
        <f t="shared" si="73"/>
        <v>213.38901067050438</v>
      </c>
      <c r="N90" s="318">
        <f t="shared" si="74"/>
        <v>214.83907970237826</v>
      </c>
      <c r="O90" s="320">
        <f t="shared" si="75"/>
        <v>0.32856242296589899</v>
      </c>
      <c r="P90" s="319">
        <f t="shared" si="75"/>
        <v>2.8135719621635888</v>
      </c>
      <c r="Q90" s="321">
        <f t="shared" si="76"/>
        <v>2.8326913795996718</v>
      </c>
      <c r="R90" s="320">
        <f t="shared" si="77"/>
        <v>14.137135185865183</v>
      </c>
      <c r="S90" s="319">
        <f t="shared" si="78"/>
        <v>121.06024427630575</v>
      </c>
      <c r="T90" s="319">
        <f t="shared" si="79"/>
        <v>121.88290009473127</v>
      </c>
      <c r="U90" s="322">
        <f t="shared" si="80"/>
        <v>166.05268664155682</v>
      </c>
      <c r="V90" s="319">
        <f t="shared" si="81"/>
        <v>-120.73168185333985</v>
      </c>
      <c r="W90" s="319">
        <f t="shared" si="82"/>
        <v>183.0033937895856</v>
      </c>
      <c r="X90" s="323">
        <f t="shared" si="83"/>
        <v>219.24046419774388</v>
      </c>
      <c r="Y90" s="323">
        <f t="shared" si="84"/>
        <v>379.7356230654778</v>
      </c>
    </row>
    <row r="91" spans="5:25">
      <c r="E91" s="314">
        <f t="shared" si="65"/>
        <v>0.97229645140234289</v>
      </c>
      <c r="F91" s="315">
        <f>IF(F90*1.2&gt;$F$92,$F$92,F90*1.2)</f>
        <v>232.90675199999993</v>
      </c>
      <c r="G91" s="316">
        <f t="shared" si="70"/>
        <v>1.5624999999999997E-2</v>
      </c>
      <c r="H91" s="319">
        <f t="shared" si="71"/>
        <v>71.663615999999962</v>
      </c>
      <c r="I91" s="318">
        <f t="shared" si="67"/>
        <v>4586.4714239999985</v>
      </c>
      <c r="J91" s="319">
        <f t="shared" si="68"/>
        <v>135.85659161999385</v>
      </c>
      <c r="K91" s="318">
        <f t="shared" si="72"/>
        <v>282.86121650898559</v>
      </c>
      <c r="L91" s="342">
        <f>L90*F90/F91/1.053</f>
        <v>19.720698695025458</v>
      </c>
      <c r="M91" s="318">
        <f t="shared" si="73"/>
        <v>213.38901067050438</v>
      </c>
      <c r="N91" s="318">
        <f t="shared" si="74"/>
        <v>214.29833371250604</v>
      </c>
      <c r="O91" s="320">
        <f t="shared" si="75"/>
        <v>0.26002091086253482</v>
      </c>
      <c r="P91" s="319">
        <f t="shared" si="75"/>
        <v>2.8135719621635888</v>
      </c>
      <c r="Q91" s="321">
        <f t="shared" si="76"/>
        <v>2.8255615477916685</v>
      </c>
      <c r="R91" s="320">
        <f t="shared" si="77"/>
        <v>13.425579473756107</v>
      </c>
      <c r="S91" s="319">
        <f t="shared" si="78"/>
        <v>145.27229313156687</v>
      </c>
      <c r="T91" s="319">
        <f t="shared" si="79"/>
        <v>145.8913477074978</v>
      </c>
      <c r="U91" s="322">
        <f t="shared" si="80"/>
        <v>157.69485910879087</v>
      </c>
      <c r="V91" s="319">
        <f t="shared" si="81"/>
        <v>-145.01227222070435</v>
      </c>
      <c r="W91" s="319">
        <f t="shared" si="82"/>
        <v>173.93401054471056</v>
      </c>
      <c r="X91" s="323">
        <f t="shared" si="83"/>
        <v>226.45440847724547</v>
      </c>
      <c r="Y91" s="323">
        <f t="shared" si="84"/>
        <v>392.23054108054538</v>
      </c>
    </row>
    <row r="92" spans="5:25" ht="15.75" thickBot="1">
      <c r="E92" s="327">
        <f>E47</f>
        <v>1.1921732867130912</v>
      </c>
      <c r="F92" s="328">
        <f>F49</f>
        <v>248.3</v>
      </c>
      <c r="G92" s="328">
        <f t="shared" ref="G92:Y92" si="85">G49</f>
        <v>1.814454126089185E-2</v>
      </c>
      <c r="H92" s="328">
        <f>H49</f>
        <v>88.5</v>
      </c>
      <c r="I92" s="363">
        <f t="shared" si="67"/>
        <v>4877.5</v>
      </c>
      <c r="J92" s="328">
        <f t="shared" si="85"/>
        <v>135.87986976238483</v>
      </c>
      <c r="K92" s="328">
        <f t="shared" si="85"/>
        <v>266.02914943351931</v>
      </c>
      <c r="L92" s="328">
        <f t="shared" si="85"/>
        <v>24.674989931534437</v>
      </c>
      <c r="M92" s="328">
        <f t="shared" si="85"/>
        <v>230.26543165498862</v>
      </c>
      <c r="N92" s="328">
        <f t="shared" si="85"/>
        <v>231.58373030802392</v>
      </c>
      <c r="O92" s="328">
        <f t="shared" si="85"/>
        <v>0.32534411973648264</v>
      </c>
      <c r="P92" s="328">
        <f t="shared" si="85"/>
        <v>3.0360905668209441</v>
      </c>
      <c r="Q92" s="328">
        <f t="shared" si="85"/>
        <v>3.0534725684351951</v>
      </c>
      <c r="R92" s="328">
        <f t="shared" si="85"/>
        <v>17.908630119706753</v>
      </c>
      <c r="S92" s="328">
        <f t="shared" si="85"/>
        <v>167.12219361815025</v>
      </c>
      <c r="T92" s="328">
        <f t="shared" si="85"/>
        <v>168.07898926548486</v>
      </c>
      <c r="U92" s="364">
        <f t="shared" si="85"/>
        <v>200.33533812426694</v>
      </c>
      <c r="V92" s="328">
        <f t="shared" si="85"/>
        <v>-166.79684949841376</v>
      </c>
      <c r="W92" s="328">
        <f t="shared" si="85"/>
        <v>221.28005881079463</v>
      </c>
      <c r="X92" s="328">
        <f t="shared" si="85"/>
        <v>277.10296539356131</v>
      </c>
      <c r="Y92" s="328">
        <f t="shared" si="85"/>
        <v>479.95641498964847</v>
      </c>
    </row>
    <row r="93" spans="5:25">
      <c r="E93" s="314"/>
      <c r="F93" s="315"/>
      <c r="G93" s="316"/>
      <c r="H93" s="319"/>
      <c r="I93" s="318"/>
      <c r="J93" s="319"/>
      <c r="K93" s="318"/>
      <c r="L93" s="342"/>
      <c r="M93" s="318"/>
      <c r="N93" s="318"/>
      <c r="O93" s="320"/>
      <c r="P93" s="319"/>
      <c r="Q93" s="321"/>
      <c r="R93" s="320"/>
      <c r="S93" s="319"/>
      <c r="T93" s="321"/>
      <c r="U93" s="322"/>
      <c r="V93" s="319"/>
      <c r="W93" s="319"/>
      <c r="X93" s="323"/>
      <c r="Y93" s="323"/>
    </row>
    <row r="94" spans="5:25">
      <c r="E94" s="314"/>
      <c r="F94" s="315"/>
      <c r="G94" s="316"/>
      <c r="H94" s="319"/>
      <c r="I94" s="318"/>
      <c r="J94" s="319"/>
      <c r="K94" s="318"/>
      <c r="L94" s="342"/>
      <c r="M94" s="318"/>
      <c r="N94" s="318"/>
      <c r="O94" s="320"/>
      <c r="P94" s="319"/>
      <c r="Q94" s="321"/>
      <c r="R94" s="320"/>
      <c r="S94" s="319"/>
      <c r="T94" s="321"/>
      <c r="U94" s="322"/>
      <c r="V94" s="319"/>
      <c r="W94" s="319"/>
      <c r="X94" s="323"/>
      <c r="Y94" s="323"/>
    </row>
    <row r="95" spans="5:25">
      <c r="E95" s="314"/>
      <c r="F95" s="315"/>
      <c r="G95" s="316"/>
      <c r="H95" s="319"/>
      <c r="I95" s="318"/>
      <c r="J95" s="319"/>
      <c r="K95" s="318"/>
      <c r="L95" s="342"/>
      <c r="M95" s="318"/>
      <c r="N95" s="318"/>
      <c r="O95" s="320"/>
      <c r="P95" s="319"/>
      <c r="Q95" s="321"/>
      <c r="R95" s="320"/>
      <c r="S95" s="319"/>
      <c r="T95" s="321"/>
      <c r="U95" s="322"/>
      <c r="V95" s="319"/>
      <c r="W95" s="319"/>
      <c r="X95" s="323"/>
      <c r="Y95" s="323"/>
    </row>
    <row r="96" spans="5:25">
      <c r="E96" s="314"/>
      <c r="F96" s="315"/>
      <c r="G96" s="316"/>
      <c r="H96" s="319"/>
      <c r="I96" s="318"/>
      <c r="J96" s="319"/>
      <c r="K96" s="318"/>
      <c r="L96" s="342"/>
      <c r="M96" s="318"/>
      <c r="N96" s="318"/>
      <c r="O96" s="320"/>
      <c r="P96" s="319"/>
      <c r="Q96" s="321"/>
      <c r="R96" s="320"/>
      <c r="S96" s="319"/>
      <c r="T96" s="321"/>
      <c r="U96" s="322"/>
      <c r="V96" s="319"/>
      <c r="W96" s="319"/>
      <c r="X96" s="323"/>
      <c r="Y96" s="323"/>
    </row>
    <row r="97" spans="5:25">
      <c r="E97" s="314"/>
      <c r="F97" s="315"/>
      <c r="G97" s="316"/>
      <c r="H97" s="319"/>
      <c r="I97" s="318"/>
      <c r="J97" s="319"/>
      <c r="K97" s="318"/>
      <c r="L97" s="342"/>
      <c r="M97" s="318"/>
      <c r="N97" s="318"/>
      <c r="O97" s="320"/>
      <c r="P97" s="319"/>
      <c r="Q97" s="321"/>
      <c r="R97" s="320"/>
      <c r="S97" s="319"/>
      <c r="T97" s="321"/>
      <c r="U97" s="322"/>
      <c r="V97" s="319"/>
      <c r="W97" s="319"/>
      <c r="X97" s="323"/>
      <c r="Y97" s="323"/>
    </row>
    <row r="98" spans="5:25">
      <c r="E98" s="314"/>
      <c r="F98" s="315"/>
      <c r="G98" s="316"/>
      <c r="H98" s="319"/>
      <c r="I98" s="318"/>
      <c r="J98" s="319"/>
      <c r="K98" s="318"/>
      <c r="L98" s="342"/>
      <c r="M98" s="318"/>
      <c r="N98" s="318"/>
      <c r="O98" s="320"/>
      <c r="P98" s="319"/>
      <c r="Q98" s="321"/>
      <c r="R98" s="320"/>
      <c r="S98" s="319"/>
      <c r="T98" s="321"/>
      <c r="U98" s="322"/>
      <c r="V98" s="319"/>
      <c r="W98" s="319"/>
      <c r="X98" s="323"/>
      <c r="Y98" s="323"/>
    </row>
    <row r="100" spans="5:25" ht="15.75" thickBot="1">
      <c r="H100" s="302" t="s">
        <v>214</v>
      </c>
    </row>
    <row r="101" spans="5:25">
      <c r="E101" s="309"/>
      <c r="O101" s="310"/>
      <c r="P101" s="311"/>
      <c r="Q101" s="312"/>
      <c r="R101" s="310"/>
      <c r="S101" s="311"/>
      <c r="T101" s="312"/>
      <c r="U101" s="313"/>
    </row>
    <row r="102" spans="5:25">
      <c r="E102" s="314"/>
      <c r="F102" s="323"/>
      <c r="G102" s="316"/>
      <c r="H102" s="319"/>
      <c r="I102" s="318"/>
      <c r="J102" s="319"/>
      <c r="K102" s="318"/>
      <c r="L102" s="319"/>
      <c r="M102" s="318"/>
      <c r="N102" s="318"/>
      <c r="O102" s="320"/>
      <c r="Q102" s="321"/>
      <c r="R102" s="320"/>
      <c r="S102" s="319"/>
      <c r="T102" s="321"/>
      <c r="U102" s="322"/>
      <c r="V102" s="319"/>
      <c r="W102" s="319"/>
      <c r="X102" s="323"/>
      <c r="Y102" s="323"/>
    </row>
    <row r="103" spans="5:25">
      <c r="E103" s="314"/>
      <c r="F103" s="315"/>
      <c r="G103" s="316"/>
      <c r="H103" s="319"/>
      <c r="I103" s="318"/>
      <c r="J103" s="319"/>
      <c r="K103" s="318"/>
      <c r="L103" s="342"/>
      <c r="M103" s="318"/>
      <c r="N103" s="318"/>
      <c r="O103" s="320"/>
      <c r="P103" s="319"/>
      <c r="Q103" s="321"/>
      <c r="R103" s="320"/>
      <c r="S103" s="319"/>
      <c r="T103" s="321"/>
      <c r="U103" s="322"/>
      <c r="V103" s="319"/>
      <c r="W103" s="319"/>
      <c r="X103" s="323"/>
      <c r="Y103" s="323"/>
    </row>
    <row r="104" spans="5:25">
      <c r="E104" s="314"/>
      <c r="F104" s="315"/>
      <c r="G104" s="316"/>
      <c r="H104" s="319"/>
      <c r="I104" s="318"/>
      <c r="J104" s="319"/>
      <c r="K104" s="318"/>
      <c r="L104" s="342"/>
      <c r="M104" s="318"/>
      <c r="N104" s="318"/>
      <c r="O104" s="320"/>
      <c r="P104" s="319"/>
      <c r="Q104" s="321"/>
      <c r="R104" s="320"/>
      <c r="S104" s="319"/>
      <c r="T104" s="321"/>
      <c r="U104" s="322"/>
      <c r="V104" s="319"/>
      <c r="W104" s="319"/>
      <c r="X104" s="323"/>
      <c r="Y104" s="323"/>
    </row>
    <row r="105" spans="5:25">
      <c r="E105" s="314"/>
      <c r="F105" s="315"/>
      <c r="G105" s="316"/>
      <c r="H105" s="319"/>
      <c r="I105" s="318"/>
      <c r="J105" s="319"/>
      <c r="K105" s="318"/>
      <c r="L105" s="342"/>
      <c r="M105" s="318"/>
      <c r="N105" s="318"/>
      <c r="O105" s="320"/>
      <c r="P105" s="319"/>
      <c r="Q105" s="321"/>
      <c r="R105" s="320"/>
      <c r="S105" s="319"/>
      <c r="T105" s="321"/>
      <c r="U105" s="322"/>
      <c r="V105" s="319"/>
      <c r="W105" s="319"/>
      <c r="X105" s="323"/>
      <c r="Y105" s="323"/>
    </row>
    <row r="106" spans="5:25">
      <c r="E106" s="314"/>
      <c r="F106" s="315"/>
      <c r="G106" s="316"/>
      <c r="H106" s="319"/>
      <c r="I106" s="318"/>
      <c r="J106" s="319"/>
      <c r="K106" s="318"/>
      <c r="L106" s="342"/>
      <c r="M106" s="318"/>
      <c r="N106" s="318"/>
      <c r="O106" s="320"/>
      <c r="P106" s="319"/>
      <c r="Q106" s="321"/>
      <c r="R106" s="320"/>
      <c r="S106" s="319"/>
      <c r="T106" s="321"/>
      <c r="U106" s="322"/>
      <c r="V106" s="319"/>
      <c r="W106" s="319"/>
      <c r="X106" s="323"/>
      <c r="Y106" s="323"/>
    </row>
    <row r="107" spans="5:25">
      <c r="E107" s="314"/>
      <c r="F107" s="315"/>
      <c r="G107" s="316"/>
      <c r="H107" s="319"/>
      <c r="I107" s="318"/>
      <c r="J107" s="319"/>
      <c r="K107" s="318"/>
      <c r="L107" s="342"/>
      <c r="M107" s="318"/>
      <c r="N107" s="318"/>
      <c r="O107" s="320"/>
      <c r="P107" s="319"/>
      <c r="Q107" s="321"/>
      <c r="R107" s="320"/>
      <c r="S107" s="319"/>
      <c r="T107" s="321"/>
      <c r="U107" s="322"/>
      <c r="V107" s="319"/>
      <c r="W107" s="319"/>
      <c r="X107" s="323"/>
      <c r="Y107" s="323"/>
    </row>
    <row r="108" spans="5:25">
      <c r="E108" s="314"/>
      <c r="F108" s="315"/>
      <c r="G108" s="316"/>
      <c r="H108" s="319"/>
      <c r="I108" s="318"/>
      <c r="J108" s="319"/>
      <c r="K108" s="318"/>
      <c r="L108" s="342"/>
      <c r="M108" s="318"/>
      <c r="N108" s="318"/>
      <c r="O108" s="320"/>
      <c r="P108" s="319"/>
      <c r="Q108" s="321"/>
      <c r="R108" s="320"/>
      <c r="S108" s="319"/>
      <c r="T108" s="321"/>
      <c r="U108" s="322"/>
      <c r="V108" s="319"/>
      <c r="W108" s="319"/>
      <c r="X108" s="323"/>
      <c r="Y108" s="323"/>
    </row>
    <row r="109" spans="5:25">
      <c r="E109" s="314"/>
      <c r="F109" s="315"/>
      <c r="G109" s="316"/>
      <c r="H109" s="319"/>
      <c r="I109" s="318"/>
      <c r="J109" s="319"/>
      <c r="K109" s="318"/>
      <c r="L109" s="342"/>
      <c r="M109" s="318"/>
      <c r="N109" s="318"/>
      <c r="O109" s="320"/>
      <c r="P109" s="319"/>
      <c r="Q109" s="321"/>
      <c r="R109" s="320"/>
      <c r="S109" s="319"/>
      <c r="T109" s="321"/>
      <c r="U109" s="322"/>
      <c r="V109" s="319"/>
      <c r="W109" s="319"/>
      <c r="X109" s="323"/>
      <c r="Y109" s="323"/>
    </row>
    <row r="110" spans="5:25">
      <c r="E110" s="314"/>
      <c r="F110" s="315"/>
      <c r="G110" s="316"/>
      <c r="H110" s="319"/>
      <c r="I110" s="318"/>
      <c r="J110" s="319"/>
      <c r="K110" s="318"/>
      <c r="L110" s="342"/>
      <c r="M110" s="318"/>
      <c r="N110" s="318"/>
      <c r="O110" s="320"/>
      <c r="P110" s="319"/>
      <c r="Q110" s="321"/>
      <c r="R110" s="320"/>
      <c r="S110" s="319"/>
      <c r="T110" s="321"/>
      <c r="U110" s="322"/>
      <c r="V110" s="319"/>
      <c r="W110" s="319"/>
      <c r="X110" s="323"/>
      <c r="Y110" s="323"/>
    </row>
    <row r="111" spans="5:25">
      <c r="E111" s="314"/>
      <c r="F111" s="315"/>
      <c r="G111" s="316"/>
      <c r="H111" s="319"/>
      <c r="I111" s="318"/>
      <c r="J111" s="319"/>
      <c r="K111" s="318"/>
      <c r="L111" s="342"/>
      <c r="M111" s="318"/>
      <c r="N111" s="318"/>
      <c r="O111" s="320"/>
      <c r="P111" s="319"/>
      <c r="Q111" s="321"/>
      <c r="R111" s="320"/>
      <c r="S111" s="319"/>
      <c r="T111" s="321"/>
      <c r="U111" s="322"/>
      <c r="V111" s="319"/>
      <c r="W111" s="319"/>
      <c r="X111" s="323"/>
      <c r="Y111" s="323"/>
    </row>
    <row r="112" spans="5:25">
      <c r="E112" s="314"/>
      <c r="F112" s="315"/>
      <c r="G112" s="316"/>
      <c r="H112" s="319"/>
      <c r="I112" s="318"/>
      <c r="J112" s="319"/>
      <c r="K112" s="318"/>
      <c r="L112" s="342"/>
      <c r="M112" s="318"/>
      <c r="N112" s="318"/>
      <c r="O112" s="320"/>
      <c r="P112" s="319"/>
      <c r="Q112" s="321"/>
      <c r="R112" s="320"/>
      <c r="S112" s="319"/>
      <c r="T112" s="321"/>
      <c r="U112" s="322"/>
      <c r="V112" s="319"/>
      <c r="W112" s="319"/>
      <c r="X112" s="323"/>
      <c r="Y112" s="323"/>
    </row>
    <row r="113" spans="5:25">
      <c r="E113" s="314"/>
      <c r="F113" s="315"/>
      <c r="G113" s="316"/>
      <c r="H113" s="319"/>
      <c r="I113" s="318"/>
      <c r="J113" s="319"/>
      <c r="K113" s="318"/>
      <c r="L113" s="342"/>
      <c r="M113" s="318"/>
      <c r="N113" s="318"/>
      <c r="O113" s="320"/>
      <c r="P113" s="319"/>
      <c r="Q113" s="321"/>
      <c r="R113" s="320"/>
      <c r="S113" s="319"/>
      <c r="T113" s="321"/>
      <c r="U113" s="322"/>
      <c r="V113" s="319"/>
      <c r="W113" s="319"/>
      <c r="X113" s="323"/>
      <c r="Y113" s="323"/>
    </row>
    <row r="114" spans="5:25">
      <c r="E114" s="314"/>
      <c r="F114" s="315"/>
      <c r="G114" s="316"/>
      <c r="H114" s="319"/>
      <c r="I114" s="318"/>
      <c r="J114" s="319"/>
      <c r="K114" s="318"/>
      <c r="L114" s="342"/>
      <c r="M114" s="318"/>
      <c r="N114" s="318"/>
      <c r="O114" s="320"/>
      <c r="P114" s="319"/>
      <c r="Q114" s="321"/>
      <c r="R114" s="320"/>
      <c r="S114" s="319"/>
      <c r="T114" s="321"/>
      <c r="U114" s="322"/>
      <c r="V114" s="319"/>
      <c r="W114" s="319"/>
      <c r="X114" s="323"/>
      <c r="Y114" s="323"/>
    </row>
    <row r="115" spans="5:25">
      <c r="E115" s="314"/>
      <c r="F115" s="315"/>
      <c r="G115" s="316"/>
      <c r="H115" s="319"/>
      <c r="I115" s="318"/>
      <c r="J115" s="319"/>
      <c r="K115" s="318"/>
      <c r="L115" s="342"/>
      <c r="M115" s="318"/>
      <c r="N115" s="318"/>
      <c r="O115" s="320"/>
      <c r="P115" s="319"/>
      <c r="Q115" s="321"/>
      <c r="R115" s="320"/>
      <c r="S115" s="319"/>
      <c r="T115" s="321"/>
      <c r="U115" s="322"/>
      <c r="V115" s="319"/>
      <c r="W115" s="319"/>
      <c r="X115" s="323"/>
      <c r="Y115" s="323"/>
    </row>
    <row r="116" spans="5:25">
      <c r="E116" s="314"/>
      <c r="F116" s="315"/>
      <c r="G116" s="316"/>
      <c r="H116" s="319"/>
      <c r="I116" s="318"/>
      <c r="J116" s="319"/>
      <c r="K116" s="318"/>
      <c r="L116" s="342"/>
      <c r="M116" s="318"/>
      <c r="N116" s="318"/>
      <c r="O116" s="320"/>
      <c r="P116" s="319"/>
      <c r="Q116" s="321"/>
      <c r="R116" s="320"/>
      <c r="S116" s="319"/>
      <c r="T116" s="321"/>
      <c r="U116" s="322"/>
      <c r="V116" s="319"/>
      <c r="W116" s="319"/>
      <c r="X116" s="323"/>
      <c r="Y116" s="323"/>
    </row>
  </sheetData>
  <mergeCells count="1">
    <mergeCell ref="AD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RESUM</vt:lpstr>
      <vt:lpstr>driving mode datasheet</vt:lpstr>
      <vt:lpstr>driving mode parameters</vt:lpstr>
      <vt:lpstr>absorbing mode datasheet</vt:lpstr>
      <vt:lpstr>absorbing mode parameters</vt:lpstr>
      <vt:lpstr>limit 480V</vt:lpstr>
      <vt:lpstr>Limit</vt:lpstr>
      <vt:lpstr>'absorbing mode datasheet'!Print_Area</vt:lpstr>
      <vt:lpstr>'absorbing mode parameters'!Print_Area</vt:lpstr>
      <vt:lpstr>'driving mode datasheet'!Print_Area</vt:lpstr>
      <vt:lpstr>'driving mode parameters'!Print_Area</vt:lpstr>
      <vt:lpstr>RESUM!Print_Area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Trullen</dc:creator>
  <cp:lastModifiedBy>Peter Symonds</cp:lastModifiedBy>
  <cp:lastPrinted>2023-12-20T10:13:46Z</cp:lastPrinted>
  <dcterms:created xsi:type="dcterms:W3CDTF">2023-10-11T15:45:03Z</dcterms:created>
  <dcterms:modified xsi:type="dcterms:W3CDTF">2025-04-25T06:38:34Z</dcterms:modified>
</cp:coreProperties>
</file>